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C:\Users\Emilio G\Desktop\"/>
    </mc:Choice>
  </mc:AlternateContent>
  <xr:revisionPtr revIDLastSave="0" documentId="8_{4F9E3F31-0E32-46DC-AE3F-F7C41217D321}" xr6:coauthVersionLast="47" xr6:coauthVersionMax="47" xr10:uidLastSave="{00000000-0000-0000-0000-000000000000}"/>
  <bookViews>
    <workbookView xWindow="-120" yWindow="-120" windowWidth="20730" windowHeight="11160" tabRatio="351" xr2:uid="{00000000-000D-0000-FFFF-FFFF00000000}"/>
  </bookViews>
  <sheets>
    <sheet name="UNIVERSIDADES" sheetId="1" r:id="rId1"/>
    <sheet name="ITTU" sheetId="21" r:id="rId2"/>
    <sheet name="Graficas" sheetId="16" state="hidden" r:id="rId3"/>
    <sheet name="IES" sheetId="17" state="hidden" r:id="rId4"/>
    <sheet name="Fuentes" sheetId="18" state="hidden" r:id="rId5"/>
    <sheet name="Ajuste IPC" sheetId="8" state="hidden" r:id="rId6"/>
    <sheet name="2016 GIRADO CREE y ESTAMPILLA" sheetId="9" state="hidden" r:id="rId7"/>
    <sheet name="Hoja1" sheetId="10" state="hidden" r:id="rId8"/>
    <sheet name="Dptos" sheetId="11" state="hidden" r:id="rId9"/>
    <sheet name="IPC 2017" sheetId="12" state="hidden" r:id="rId10"/>
    <sheet name="Recursos IES " sheetId="14" state="hidden" r:id="rId11"/>
    <sheet name="MARCO NORMATIVO" sheetId="15" state="hidden" r:id="rId12"/>
  </sheets>
  <externalReferences>
    <externalReference r:id="rId13"/>
  </externalReferences>
  <definedNames>
    <definedName name="_xlnm._FilterDatabase" localSheetId="1" hidden="1">ITTU!$B$8:$AT$39</definedName>
    <definedName name="_xlnm.Print_Area" localSheetId="1">ITTU!$B$2:$Q$39</definedName>
    <definedName name="_xlnm.Print_Area" localSheetId="0">UNIVERSIDADES!$C$2:$C$44</definedName>
    <definedName name="AREA1" localSheetId="1">ITTU!#REF!</definedName>
    <definedName name="AREA1" localSheetId="0">UNIVERSIDADES!$C$10:$C$10</definedName>
    <definedName name="_xlnm.Print_Titles" localSheetId="1">ITTU!$C:$C,ITTU!$1:$8</definedName>
    <definedName name="_xlnm.Print_Titles" localSheetId="0">UNIVERSIDADES!$C:$C,UNIVERSIDADES!$1:$8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10" i="21" l="1"/>
  <c r="AK11" i="21"/>
  <c r="AK12" i="21"/>
  <c r="AK13" i="21"/>
  <c r="AK14" i="21"/>
  <c r="AK15" i="21"/>
  <c r="AK16" i="21"/>
  <c r="AK17" i="21"/>
  <c r="AK18" i="21"/>
  <c r="AK19" i="21"/>
  <c r="AK20" i="21"/>
  <c r="AK21" i="21"/>
  <c r="AK22" i="21"/>
  <c r="AK23" i="21"/>
  <c r="AK24" i="21"/>
  <c r="AK25" i="21"/>
  <c r="AK26" i="21"/>
  <c r="AK27" i="21"/>
  <c r="AK28" i="21"/>
  <c r="AK29" i="21"/>
  <c r="AK30" i="21"/>
  <c r="AK31" i="21"/>
  <c r="AK32" i="21"/>
  <c r="AK33" i="21"/>
  <c r="AK34" i="21"/>
  <c r="AK35" i="21"/>
  <c r="AK36" i="21"/>
  <c r="AK37" i="21"/>
  <c r="AK38" i="21"/>
  <c r="AK9" i="21"/>
  <c r="AJ39" i="21"/>
  <c r="D39" i="21" l="1"/>
  <c r="E39" i="21"/>
  <c r="F39" i="21"/>
  <c r="H93" i="21"/>
  <c r="H92" i="21"/>
  <c r="H91" i="21"/>
  <c r="H90" i="21"/>
  <c r="H89" i="21"/>
  <c r="H88" i="21"/>
  <c r="H87" i="21"/>
  <c r="H86" i="21"/>
  <c r="H85" i="21"/>
  <c r="AO39" i="21"/>
  <c r="AN39" i="21"/>
  <c r="AM39" i="21"/>
  <c r="AL39" i="21"/>
  <c r="AI39" i="21"/>
  <c r="AH39" i="21"/>
  <c r="AG39" i="21"/>
  <c r="AF39" i="21"/>
  <c r="AE39" i="21"/>
  <c r="AD39" i="21"/>
  <c r="AA39" i="21"/>
  <c r="Z39" i="21"/>
  <c r="Y39" i="21"/>
  <c r="X39" i="21"/>
  <c r="V39" i="21"/>
  <c r="U39" i="21"/>
  <c r="T39" i="21"/>
  <c r="S39" i="21"/>
  <c r="R39" i="21"/>
  <c r="O39" i="21"/>
  <c r="N39" i="21"/>
  <c r="M39" i="21"/>
  <c r="L39" i="21"/>
  <c r="J39" i="21"/>
  <c r="I39" i="21"/>
  <c r="H39" i="21"/>
  <c r="G39" i="21"/>
  <c r="AP38" i="21"/>
  <c r="AB38" i="21"/>
  <c r="W38" i="21"/>
  <c r="P38" i="21"/>
  <c r="K38" i="21"/>
  <c r="AP37" i="21"/>
  <c r="AB37" i="21"/>
  <c r="W37" i="21"/>
  <c r="P37" i="21"/>
  <c r="K37" i="21"/>
  <c r="AP36" i="21"/>
  <c r="AB36" i="21"/>
  <c r="W36" i="21"/>
  <c r="P36" i="21"/>
  <c r="K36" i="21"/>
  <c r="AP35" i="21"/>
  <c r="AB35" i="21"/>
  <c r="W35" i="21"/>
  <c r="P35" i="21"/>
  <c r="K35" i="21"/>
  <c r="AP34" i="21"/>
  <c r="AB34" i="21"/>
  <c r="W34" i="21"/>
  <c r="P34" i="21"/>
  <c r="K34" i="21"/>
  <c r="AP33" i="21"/>
  <c r="AB33" i="21"/>
  <c r="W33" i="21"/>
  <c r="P33" i="21"/>
  <c r="K33" i="21"/>
  <c r="AP32" i="21"/>
  <c r="AB32" i="21"/>
  <c r="W32" i="21"/>
  <c r="P32" i="21"/>
  <c r="K32" i="21"/>
  <c r="AP31" i="21"/>
  <c r="AB31" i="21"/>
  <c r="W31" i="21"/>
  <c r="P31" i="21"/>
  <c r="K31" i="21"/>
  <c r="AP30" i="21"/>
  <c r="AB30" i="21"/>
  <c r="W30" i="21"/>
  <c r="P30" i="21"/>
  <c r="K30" i="21"/>
  <c r="AP29" i="21"/>
  <c r="AB29" i="21"/>
  <c r="W29" i="21"/>
  <c r="P29" i="21"/>
  <c r="K29" i="21"/>
  <c r="AP28" i="21"/>
  <c r="AB28" i="21"/>
  <c r="W28" i="21"/>
  <c r="P28" i="21"/>
  <c r="K28" i="21"/>
  <c r="AP27" i="21"/>
  <c r="AB27" i="21"/>
  <c r="W27" i="21"/>
  <c r="P27" i="21"/>
  <c r="K27" i="21"/>
  <c r="AP26" i="21"/>
  <c r="AB26" i="21"/>
  <c r="W26" i="21"/>
  <c r="P26" i="21"/>
  <c r="K26" i="21"/>
  <c r="AP25" i="21"/>
  <c r="AB25" i="21"/>
  <c r="W25" i="21"/>
  <c r="P25" i="21"/>
  <c r="K25" i="21"/>
  <c r="AP24" i="21"/>
  <c r="AB24" i="21"/>
  <c r="W24" i="21"/>
  <c r="P24" i="21"/>
  <c r="K24" i="21"/>
  <c r="AP23" i="21"/>
  <c r="AB23" i="21"/>
  <c r="W23" i="21"/>
  <c r="P23" i="21"/>
  <c r="K23" i="21"/>
  <c r="AP22" i="21"/>
  <c r="AB22" i="21"/>
  <c r="W22" i="21"/>
  <c r="P22" i="21"/>
  <c r="K22" i="21"/>
  <c r="AP21" i="21"/>
  <c r="AB21" i="21"/>
  <c r="W21" i="21"/>
  <c r="P21" i="21"/>
  <c r="K21" i="21"/>
  <c r="AP20" i="21"/>
  <c r="AB20" i="21"/>
  <c r="W20" i="21"/>
  <c r="P20" i="21"/>
  <c r="K20" i="21"/>
  <c r="AP19" i="21"/>
  <c r="AB19" i="21"/>
  <c r="W19" i="21"/>
  <c r="P19" i="21"/>
  <c r="K19" i="21"/>
  <c r="AP18" i="21"/>
  <c r="AB18" i="21"/>
  <c r="W18" i="21"/>
  <c r="P18" i="21"/>
  <c r="K18" i="21"/>
  <c r="AP17" i="21"/>
  <c r="AB17" i="21"/>
  <c r="W17" i="21"/>
  <c r="P17" i="21"/>
  <c r="K17" i="21"/>
  <c r="AP16" i="21"/>
  <c r="AB16" i="21"/>
  <c r="W16" i="21"/>
  <c r="P16" i="21"/>
  <c r="K16" i="21"/>
  <c r="AP15" i="21"/>
  <c r="AB15" i="21"/>
  <c r="W15" i="21"/>
  <c r="P15" i="21"/>
  <c r="K15" i="21"/>
  <c r="AP14" i="21"/>
  <c r="AB14" i="21"/>
  <c r="W14" i="21"/>
  <c r="P14" i="21"/>
  <c r="K14" i="21"/>
  <c r="AP13" i="21"/>
  <c r="AB13" i="21"/>
  <c r="W13" i="21"/>
  <c r="P13" i="21"/>
  <c r="K13" i="21"/>
  <c r="AP12" i="21"/>
  <c r="AB12" i="21"/>
  <c r="W12" i="21"/>
  <c r="P12" i="21"/>
  <c r="K12" i="21"/>
  <c r="AP11" i="21"/>
  <c r="AB11" i="21"/>
  <c r="W11" i="21"/>
  <c r="P11" i="21"/>
  <c r="K11" i="21"/>
  <c r="AP10" i="21"/>
  <c r="AB10" i="21"/>
  <c r="W10" i="21"/>
  <c r="P10" i="21"/>
  <c r="K10" i="21"/>
  <c r="AP9" i="21"/>
  <c r="AB9" i="21"/>
  <c r="W9" i="21"/>
  <c r="P9" i="21"/>
  <c r="K9" i="21"/>
  <c r="AQ33" i="21" l="1"/>
  <c r="AC36" i="21"/>
  <c r="AQ37" i="21"/>
  <c r="AC11" i="21"/>
  <c r="AC15" i="21"/>
  <c r="AQ20" i="21"/>
  <c r="AC22" i="21"/>
  <c r="Q24" i="21"/>
  <c r="AC25" i="21"/>
  <c r="Q28" i="21"/>
  <c r="AQ23" i="21"/>
  <c r="Q29" i="21"/>
  <c r="Q25" i="21"/>
  <c r="AQ27" i="21"/>
  <c r="AC30" i="21"/>
  <c r="AQ34" i="21"/>
  <c r="Q36" i="21"/>
  <c r="AQ38" i="21"/>
  <c r="AC23" i="21"/>
  <c r="AC35" i="21"/>
  <c r="AQ10" i="21"/>
  <c r="Q12" i="21"/>
  <c r="AC13" i="21"/>
  <c r="AQ14" i="21"/>
  <c r="Q17" i="21"/>
  <c r="AC18" i="21"/>
  <c r="AQ19" i="21"/>
  <c r="Q26" i="21"/>
  <c r="Q34" i="21"/>
  <c r="Q33" i="21"/>
  <c r="AC12" i="21"/>
  <c r="Q20" i="21"/>
  <c r="AQ21" i="21"/>
  <c r="AQ30" i="21"/>
  <c r="AQ15" i="21"/>
  <c r="AC27" i="21"/>
  <c r="Q38" i="21"/>
  <c r="AC32" i="21"/>
  <c r="AQ24" i="21"/>
  <c r="AQ36" i="21"/>
  <c r="AQ31" i="21"/>
  <c r="AQ9" i="21"/>
  <c r="AQ13" i="21"/>
  <c r="AC17" i="21"/>
  <c r="Q21" i="21"/>
  <c r="AC31" i="21"/>
  <c r="AQ32" i="21"/>
  <c r="AQ22" i="21"/>
  <c r="AC34" i="21"/>
  <c r="AQ35" i="21"/>
  <c r="AC38" i="21"/>
  <c r="AQ17" i="21"/>
  <c r="Q13" i="21"/>
  <c r="Q23" i="21"/>
  <c r="AQ25" i="21"/>
  <c r="AC28" i="21"/>
  <c r="AC33" i="21"/>
  <c r="AQ12" i="21"/>
  <c r="Q22" i="21"/>
  <c r="AQ16" i="21"/>
  <c r="AC20" i="21"/>
  <c r="Q15" i="21"/>
  <c r="Q16" i="21"/>
  <c r="AC24" i="21"/>
  <c r="AQ26" i="21"/>
  <c r="Q35" i="21"/>
  <c r="AC37" i="21"/>
  <c r="AQ28" i="21"/>
  <c r="K39" i="21"/>
  <c r="P39" i="21"/>
  <c r="Q18" i="21"/>
  <c r="AQ11" i="21"/>
  <c r="AB39" i="21"/>
  <c r="Q14" i="21"/>
  <c r="AC16" i="21"/>
  <c r="AQ18" i="21"/>
  <c r="Q27" i="21"/>
  <c r="AC29" i="21"/>
  <c r="AC26" i="21"/>
  <c r="Q31" i="21"/>
  <c r="Q9" i="21"/>
  <c r="AC10" i="21"/>
  <c r="AK39" i="21"/>
  <c r="AC14" i="21"/>
  <c r="Q10" i="21"/>
  <c r="AC19" i="21"/>
  <c r="Q30" i="21"/>
  <c r="Q37" i="21"/>
  <c r="W39" i="21"/>
  <c r="Q11" i="21"/>
  <c r="Q19" i="21"/>
  <c r="AC21" i="21"/>
  <c r="AQ29" i="21"/>
  <c r="Q32" i="21"/>
  <c r="AC9" i="21"/>
  <c r="AP39" i="21"/>
  <c r="Q39" i="21" l="1"/>
  <c r="AQ39" i="21"/>
  <c r="AC39" i="21"/>
  <c r="BF43" i="1"/>
  <c r="AZ43" i="1"/>
  <c r="BF42" i="1"/>
  <c r="AZ42" i="1"/>
  <c r="BF41" i="1"/>
  <c r="AZ41" i="1"/>
  <c r="BF40" i="1"/>
  <c r="AZ40" i="1"/>
  <c r="BF39" i="1"/>
  <c r="AZ39" i="1"/>
  <c r="BF38" i="1"/>
  <c r="AZ38" i="1"/>
  <c r="BF37" i="1"/>
  <c r="AZ37" i="1"/>
  <c r="BF36" i="1"/>
  <c r="AZ36" i="1"/>
  <c r="BF35" i="1"/>
  <c r="AZ35" i="1"/>
  <c r="BF34" i="1"/>
  <c r="AZ34" i="1"/>
  <c r="BF33" i="1"/>
  <c r="AZ33" i="1"/>
  <c r="BF32" i="1"/>
  <c r="AZ32" i="1"/>
  <c r="BF31" i="1"/>
  <c r="AZ31" i="1"/>
  <c r="BF30" i="1"/>
  <c r="AZ30" i="1"/>
  <c r="BF29" i="1"/>
  <c r="AZ29" i="1"/>
  <c r="BF28" i="1"/>
  <c r="AZ28" i="1"/>
  <c r="BE27" i="1"/>
  <c r="BD27" i="1"/>
  <c r="BC27" i="1"/>
  <c r="BB27" i="1"/>
  <c r="BA27" i="1"/>
  <c r="BA44" i="1" s="1"/>
  <c r="AY27" i="1"/>
  <c r="AY44" i="1" s="1"/>
  <c r="AX27" i="1"/>
  <c r="AW27" i="1"/>
  <c r="AV27" i="1"/>
  <c r="AU27" i="1"/>
  <c r="AU44" i="1" s="1"/>
  <c r="AT27" i="1"/>
  <c r="AT44" i="1" s="1"/>
  <c r="AS27" i="1"/>
  <c r="AS44" i="1" s="1"/>
  <c r="BF26" i="1"/>
  <c r="AZ26" i="1"/>
  <c r="BF25" i="1"/>
  <c r="AZ25" i="1"/>
  <c r="BF24" i="1"/>
  <c r="AZ24" i="1"/>
  <c r="BF23" i="1"/>
  <c r="AZ23" i="1"/>
  <c r="BF22" i="1"/>
  <c r="AZ22" i="1"/>
  <c r="BF21" i="1"/>
  <c r="AZ21" i="1"/>
  <c r="BF20" i="1"/>
  <c r="AZ20" i="1"/>
  <c r="BF19" i="1"/>
  <c r="AZ19" i="1"/>
  <c r="BF18" i="1"/>
  <c r="AZ18" i="1"/>
  <c r="BF17" i="1"/>
  <c r="AZ17" i="1"/>
  <c r="BF16" i="1"/>
  <c r="AZ16" i="1"/>
  <c r="BF15" i="1"/>
  <c r="AZ15" i="1"/>
  <c r="BF14" i="1"/>
  <c r="AZ14" i="1"/>
  <c r="BF13" i="1"/>
  <c r="AZ13" i="1"/>
  <c r="BF12" i="1"/>
  <c r="AZ12" i="1"/>
  <c r="BF11" i="1"/>
  <c r="AZ11" i="1"/>
  <c r="BF10" i="1"/>
  <c r="AZ10" i="1"/>
  <c r="BE9" i="1"/>
  <c r="BD9" i="1"/>
  <c r="BC9" i="1"/>
  <c r="BB9" i="1"/>
  <c r="BA9" i="1"/>
  <c r="AY9" i="1"/>
  <c r="AX9" i="1"/>
  <c r="AW9" i="1"/>
  <c r="AV9" i="1"/>
  <c r="AU9" i="1"/>
  <c r="AT9" i="1"/>
  <c r="AS9" i="1"/>
  <c r="AX44" i="1" l="1"/>
  <c r="BB44" i="1"/>
  <c r="BG29" i="1"/>
  <c r="BG37" i="1"/>
  <c r="BG17" i="1"/>
  <c r="BG14" i="1"/>
  <c r="BE44" i="1"/>
  <c r="BG34" i="1"/>
  <c r="BG42" i="1"/>
  <c r="BG35" i="1"/>
  <c r="BG43" i="1"/>
  <c r="BG25" i="1"/>
  <c r="BG22" i="1"/>
  <c r="BG11" i="1"/>
  <c r="BG15" i="1"/>
  <c r="BG19" i="1"/>
  <c r="BG16" i="1"/>
  <c r="BG24" i="1"/>
  <c r="BD44" i="1"/>
  <c r="BG36" i="1"/>
  <c r="BG28" i="1"/>
  <c r="BF27" i="1"/>
  <c r="BG23" i="1"/>
  <c r="BF9" i="1"/>
  <c r="BC44" i="1"/>
  <c r="BG12" i="1"/>
  <c r="BG33" i="1"/>
  <c r="BG41" i="1"/>
  <c r="BG30" i="1"/>
  <c r="BG20" i="1"/>
  <c r="BG31" i="1"/>
  <c r="BG38" i="1"/>
  <c r="BG39" i="1"/>
  <c r="BG40" i="1"/>
  <c r="BG32" i="1"/>
  <c r="AZ27" i="1"/>
  <c r="BG26" i="1"/>
  <c r="BG21" i="1"/>
  <c r="AW44" i="1"/>
  <c r="BG18" i="1"/>
  <c r="BG13" i="1"/>
  <c r="AV44" i="1"/>
  <c r="AZ9" i="1"/>
  <c r="BG10" i="1"/>
  <c r="BF44" i="1" l="1"/>
  <c r="BG44" i="1" s="1"/>
  <c r="BG27" i="1"/>
  <c r="AZ44" i="1"/>
  <c r="BG9" i="1"/>
  <c r="AQ43" i="1" l="1"/>
  <c r="AK43" i="1"/>
  <c r="AB43" i="1"/>
  <c r="V43" i="1"/>
  <c r="AQ42" i="1"/>
  <c r="AK42" i="1"/>
  <c r="AB42" i="1"/>
  <c r="V42" i="1"/>
  <c r="AQ41" i="1"/>
  <c r="AK41" i="1"/>
  <c r="AB41" i="1"/>
  <c r="V41" i="1"/>
  <c r="AQ40" i="1"/>
  <c r="AK40" i="1"/>
  <c r="AB40" i="1"/>
  <c r="V40" i="1"/>
  <c r="AQ39" i="1"/>
  <c r="AK39" i="1"/>
  <c r="AB39" i="1"/>
  <c r="V39" i="1"/>
  <c r="AQ38" i="1"/>
  <c r="AK38" i="1"/>
  <c r="AB38" i="1"/>
  <c r="V38" i="1"/>
  <c r="AQ37" i="1"/>
  <c r="AK37" i="1"/>
  <c r="AB37" i="1"/>
  <c r="V37" i="1"/>
  <c r="AQ36" i="1"/>
  <c r="AK36" i="1"/>
  <c r="AR36" i="1" s="1"/>
  <c r="AB36" i="1"/>
  <c r="V36" i="1"/>
  <c r="AQ35" i="1"/>
  <c r="AK35" i="1"/>
  <c r="AR35" i="1" s="1"/>
  <c r="AB35" i="1"/>
  <c r="V35" i="1"/>
  <c r="AQ34" i="1"/>
  <c r="AK34" i="1"/>
  <c r="AB34" i="1"/>
  <c r="V34" i="1"/>
  <c r="AQ33" i="1"/>
  <c r="AK33" i="1"/>
  <c r="AB33" i="1"/>
  <c r="V33" i="1"/>
  <c r="AQ32" i="1"/>
  <c r="AK32" i="1"/>
  <c r="AB32" i="1"/>
  <c r="V32" i="1"/>
  <c r="AQ31" i="1"/>
  <c r="AK31" i="1"/>
  <c r="AB31" i="1"/>
  <c r="V31" i="1"/>
  <c r="AQ30" i="1"/>
  <c r="AK30" i="1"/>
  <c r="AB30" i="1"/>
  <c r="V30" i="1"/>
  <c r="AQ29" i="1"/>
  <c r="AK29" i="1"/>
  <c r="AB29" i="1"/>
  <c r="V29" i="1"/>
  <c r="AQ28" i="1"/>
  <c r="AK28" i="1"/>
  <c r="AB28" i="1"/>
  <c r="V28" i="1"/>
  <c r="AP27" i="1"/>
  <c r="AO27" i="1"/>
  <c r="AN27" i="1"/>
  <c r="AM27" i="1"/>
  <c r="AL27" i="1"/>
  <c r="AJ27" i="1"/>
  <c r="AI27" i="1"/>
  <c r="AH27" i="1"/>
  <c r="AG27" i="1"/>
  <c r="AF27" i="1"/>
  <c r="AE27" i="1"/>
  <c r="AD27" i="1"/>
  <c r="AA27" i="1"/>
  <c r="Z27" i="1"/>
  <c r="Y27" i="1"/>
  <c r="X27" i="1"/>
  <c r="W27" i="1"/>
  <c r="U27" i="1"/>
  <c r="T27" i="1"/>
  <c r="S27" i="1"/>
  <c r="R27" i="1"/>
  <c r="Q27" i="1"/>
  <c r="P27" i="1"/>
  <c r="AQ26" i="1"/>
  <c r="AK26" i="1"/>
  <c r="AQ25" i="1"/>
  <c r="AK25" i="1"/>
  <c r="AB25" i="1"/>
  <c r="V25" i="1"/>
  <c r="AQ24" i="1"/>
  <c r="AK24" i="1"/>
  <c r="AB24" i="1"/>
  <c r="V24" i="1"/>
  <c r="AQ23" i="1"/>
  <c r="AK23" i="1"/>
  <c r="AB23" i="1"/>
  <c r="V23" i="1"/>
  <c r="AQ22" i="1"/>
  <c r="AK22" i="1"/>
  <c r="AB22" i="1"/>
  <c r="V22" i="1"/>
  <c r="AQ21" i="1"/>
  <c r="AK21" i="1"/>
  <c r="AB21" i="1"/>
  <c r="AC21" i="1" s="1"/>
  <c r="V21" i="1"/>
  <c r="AQ20" i="1"/>
  <c r="AK20" i="1"/>
  <c r="AB20" i="1"/>
  <c r="V20" i="1"/>
  <c r="AQ19" i="1"/>
  <c r="AK19" i="1"/>
  <c r="AB19" i="1"/>
  <c r="AC19" i="1" s="1"/>
  <c r="V19" i="1"/>
  <c r="AQ18" i="1"/>
  <c r="AK18" i="1"/>
  <c r="AB18" i="1"/>
  <c r="AC18" i="1" s="1"/>
  <c r="V18" i="1"/>
  <c r="AQ17" i="1"/>
  <c r="AK17" i="1"/>
  <c r="AB17" i="1"/>
  <c r="AC17" i="1" s="1"/>
  <c r="V17" i="1"/>
  <c r="AQ16" i="1"/>
  <c r="AK16" i="1"/>
  <c r="AB16" i="1"/>
  <c r="AC16" i="1" s="1"/>
  <c r="V16" i="1"/>
  <c r="AR15" i="1"/>
  <c r="AQ15" i="1"/>
  <c r="AK15" i="1"/>
  <c r="AB15" i="1"/>
  <c r="V15" i="1"/>
  <c r="AQ14" i="1"/>
  <c r="AK14" i="1"/>
  <c r="AB14" i="1"/>
  <c r="V14" i="1"/>
  <c r="AQ13" i="1"/>
  <c r="AK13" i="1"/>
  <c r="AB13" i="1"/>
  <c r="V13" i="1"/>
  <c r="AQ12" i="1"/>
  <c r="AK12" i="1"/>
  <c r="AB12" i="1"/>
  <c r="V12" i="1"/>
  <c r="AQ11" i="1"/>
  <c r="AR11" i="1" s="1"/>
  <c r="AK11" i="1"/>
  <c r="AB11" i="1"/>
  <c r="V11" i="1"/>
  <c r="AQ10" i="1"/>
  <c r="AK10" i="1"/>
  <c r="AB10" i="1"/>
  <c r="V10" i="1"/>
  <c r="AP9" i="1"/>
  <c r="AO9" i="1"/>
  <c r="AN9" i="1"/>
  <c r="AM9" i="1"/>
  <c r="AL9" i="1"/>
  <c r="AJ9" i="1"/>
  <c r="AI9" i="1"/>
  <c r="AH9" i="1"/>
  <c r="AG9" i="1"/>
  <c r="AF9" i="1"/>
  <c r="AE9" i="1"/>
  <c r="AD9" i="1"/>
  <c r="AA9" i="1"/>
  <c r="Z9" i="1"/>
  <c r="Y9" i="1"/>
  <c r="X9" i="1"/>
  <c r="W9" i="1"/>
  <c r="U9" i="1"/>
  <c r="T9" i="1"/>
  <c r="S9" i="1"/>
  <c r="R9" i="1"/>
  <c r="Q9" i="1"/>
  <c r="P9" i="1"/>
  <c r="AR40" i="1" l="1"/>
  <c r="AR22" i="1"/>
  <c r="AC37" i="1"/>
  <c r="AC43" i="1"/>
  <c r="AC38" i="1"/>
  <c r="AR32" i="1"/>
  <c r="AR25" i="1"/>
  <c r="AC29" i="1"/>
  <c r="V9" i="1"/>
  <c r="U44" i="1"/>
  <c r="AC10" i="1"/>
  <c r="AR29" i="1"/>
  <c r="AR37" i="1"/>
  <c r="AR41" i="1"/>
  <c r="AB9" i="1"/>
  <c r="AC14" i="1"/>
  <c r="AR23" i="1"/>
  <c r="AR31" i="1"/>
  <c r="AC33" i="1"/>
  <c r="AR42" i="1"/>
  <c r="AQ9" i="1"/>
  <c r="AR14" i="1"/>
  <c r="AR16" i="1"/>
  <c r="AR18" i="1"/>
  <c r="AC24" i="1"/>
  <c r="AR26" i="1"/>
  <c r="V27" i="1"/>
  <c r="AR33" i="1"/>
  <c r="AR39" i="1"/>
  <c r="Y44" i="1"/>
  <c r="AI44" i="1"/>
  <c r="AC15" i="1"/>
  <c r="Q44" i="1"/>
  <c r="AK27" i="1"/>
  <c r="AC34" i="1"/>
  <c r="AC36" i="1"/>
  <c r="AA44" i="1"/>
  <c r="AL44" i="1"/>
  <c r="AQ27" i="1"/>
  <c r="AC40" i="1"/>
  <c r="AR43" i="1"/>
  <c r="AR19" i="1"/>
  <c r="AC25" i="1"/>
  <c r="S44" i="1"/>
  <c r="AR38" i="1"/>
  <c r="AQ44" i="1"/>
  <c r="AR10" i="1"/>
  <c r="AR12" i="1"/>
  <c r="AR21" i="1"/>
  <c r="AC23" i="1"/>
  <c r="R44" i="1"/>
  <c r="Z44" i="1"/>
  <c r="AJ44" i="1"/>
  <c r="AC28" i="1"/>
  <c r="AC35" i="1"/>
  <c r="AC42" i="1"/>
  <c r="AD44" i="1"/>
  <c r="AM44" i="1"/>
  <c r="AB27" i="1"/>
  <c r="AC32" i="1"/>
  <c r="AC39" i="1"/>
  <c r="T44" i="1"/>
  <c r="AC13" i="1"/>
  <c r="AC20" i="1"/>
  <c r="AC22" i="1"/>
  <c r="AE44" i="1"/>
  <c r="AN44" i="1"/>
  <c r="AR28" i="1"/>
  <c r="AR30" i="1"/>
  <c r="AC41" i="1"/>
  <c r="AR13" i="1"/>
  <c r="AR20" i="1"/>
  <c r="AF44" i="1"/>
  <c r="AO44" i="1"/>
  <c r="AC11" i="1"/>
  <c r="W44" i="1"/>
  <c r="AG44" i="1"/>
  <c r="AP44" i="1"/>
  <c r="AR34" i="1"/>
  <c r="AK9" i="1"/>
  <c r="AK44" i="1" s="1"/>
  <c r="AR17" i="1"/>
  <c r="AR24" i="1"/>
  <c r="P44" i="1"/>
  <c r="X44" i="1"/>
  <c r="AH44" i="1"/>
  <c r="AC31" i="1"/>
  <c r="AC12" i="1"/>
  <c r="AC30" i="1"/>
  <c r="AR27" i="1" l="1"/>
  <c r="AC9" i="1"/>
  <c r="AB44" i="1"/>
  <c r="V44" i="1"/>
  <c r="AR9" i="1"/>
  <c r="AC27" i="1"/>
  <c r="AC44" i="1" s="1"/>
  <c r="AR44" i="1" l="1"/>
  <c r="G16" i="14"/>
  <c r="F16" i="14"/>
  <c r="F10" i="14"/>
  <c r="E10" i="14"/>
  <c r="C16" i="14"/>
  <c r="I10" i="1"/>
  <c r="J10" i="1" s="1"/>
  <c r="L24" i="18"/>
  <c r="L12" i="18"/>
  <c r="I12" i="18"/>
  <c r="F12" i="18"/>
  <c r="D24" i="18"/>
  <c r="N43" i="1"/>
  <c r="J43" i="1"/>
  <c r="N42" i="1"/>
  <c r="J42" i="1"/>
  <c r="N41" i="1"/>
  <c r="J41" i="1"/>
  <c r="N40" i="1"/>
  <c r="J40" i="1"/>
  <c r="N39" i="1"/>
  <c r="J39" i="1"/>
  <c r="N38" i="1"/>
  <c r="J38" i="1"/>
  <c r="N37" i="1"/>
  <c r="J37" i="1"/>
  <c r="N36" i="1"/>
  <c r="J36" i="1"/>
  <c r="N35" i="1"/>
  <c r="J35" i="1"/>
  <c r="N34" i="1"/>
  <c r="J34" i="1"/>
  <c r="N33" i="1"/>
  <c r="J33" i="1"/>
  <c r="N32" i="1"/>
  <c r="J32" i="1"/>
  <c r="N31" i="1"/>
  <c r="J31" i="1"/>
  <c r="N30" i="1"/>
  <c r="J30" i="1"/>
  <c r="N29" i="1"/>
  <c r="J29" i="1"/>
  <c r="N28" i="1"/>
  <c r="J28" i="1"/>
  <c r="M27" i="1"/>
  <c r="L27" i="1"/>
  <c r="K27" i="1"/>
  <c r="I27" i="1"/>
  <c r="H27" i="1"/>
  <c r="G27" i="1"/>
  <c r="F27" i="1"/>
  <c r="E27" i="1"/>
  <c r="D27" i="1"/>
  <c r="N25" i="1"/>
  <c r="J25" i="1"/>
  <c r="N24" i="1"/>
  <c r="J24" i="1"/>
  <c r="N23" i="1"/>
  <c r="J23" i="1"/>
  <c r="N22" i="1"/>
  <c r="J22" i="1"/>
  <c r="N21" i="1"/>
  <c r="J21" i="1"/>
  <c r="N20" i="1"/>
  <c r="J20" i="1"/>
  <c r="N19" i="1"/>
  <c r="J19" i="1"/>
  <c r="N18" i="1"/>
  <c r="J18" i="1"/>
  <c r="N17" i="1"/>
  <c r="J17" i="1"/>
  <c r="N16" i="1"/>
  <c r="J16" i="1"/>
  <c r="N15" i="1"/>
  <c r="J15" i="1"/>
  <c r="N14" i="1"/>
  <c r="J14" i="1"/>
  <c r="N13" i="1"/>
  <c r="J13" i="1"/>
  <c r="N12" i="1"/>
  <c r="J12" i="1"/>
  <c r="N11" i="1"/>
  <c r="J11" i="1"/>
  <c r="N10" i="1"/>
  <c r="M9" i="1"/>
  <c r="L9" i="1"/>
  <c r="K9" i="1"/>
  <c r="H9" i="1"/>
  <c r="G9" i="1"/>
  <c r="F9" i="1"/>
  <c r="E9" i="1"/>
  <c r="D9" i="1"/>
  <c r="E23" i="18"/>
  <c r="E22" i="18"/>
  <c r="E21" i="18"/>
  <c r="E20" i="18"/>
  <c r="E19" i="18"/>
  <c r="E18" i="18"/>
  <c r="E17" i="18"/>
  <c r="E16" i="18"/>
  <c r="B51" i="16"/>
  <c r="C50" i="16"/>
  <c r="B50" i="16"/>
  <c r="C49" i="16"/>
  <c r="B49" i="16"/>
  <c r="D49" i="16" s="1"/>
  <c r="C48" i="16"/>
  <c r="B48" i="16"/>
  <c r="C47" i="16"/>
  <c r="B47" i="16"/>
  <c r="D47" i="16" s="1"/>
  <c r="C46" i="16"/>
  <c r="B46" i="16"/>
  <c r="C45" i="16"/>
  <c r="B45" i="16"/>
  <c r="D45" i="16" s="1"/>
  <c r="C44" i="16"/>
  <c r="B44" i="16"/>
  <c r="C12" i="18"/>
  <c r="B17" i="16"/>
  <c r="C24" i="18"/>
  <c r="J16" i="14"/>
  <c r="J10" i="14"/>
  <c r="I4" i="14"/>
  <c r="J15" i="14"/>
  <c r="I15" i="14"/>
  <c r="H15" i="14"/>
  <c r="G15" i="14"/>
  <c r="F15" i="14"/>
  <c r="J14" i="14"/>
  <c r="H14" i="14"/>
  <c r="F13" i="14"/>
  <c r="E13" i="14"/>
  <c r="D13" i="14"/>
  <c r="C13" i="14"/>
  <c r="C12" i="14"/>
  <c r="I11" i="14"/>
  <c r="H11" i="14"/>
  <c r="G11" i="14"/>
  <c r="F11" i="14"/>
  <c r="E11" i="14"/>
  <c r="D11" i="14"/>
  <c r="C11" i="14"/>
  <c r="F8" i="14"/>
  <c r="J7" i="14"/>
  <c r="I7" i="14"/>
  <c r="H7" i="14"/>
  <c r="G7" i="14"/>
  <c r="F7" i="14"/>
  <c r="E7" i="14"/>
  <c r="D7" i="14"/>
  <c r="C7" i="14"/>
  <c r="J6" i="14"/>
  <c r="I6" i="14"/>
  <c r="H6" i="14"/>
  <c r="G6" i="14"/>
  <c r="F6" i="14"/>
  <c r="E6" i="14"/>
  <c r="D6" i="14"/>
  <c r="C6" i="14"/>
  <c r="I5" i="14"/>
  <c r="H5" i="14"/>
  <c r="E5" i="14"/>
  <c r="C5" i="14"/>
  <c r="J3" i="14"/>
  <c r="I3" i="14"/>
  <c r="H3" i="14"/>
  <c r="G3" i="14"/>
  <c r="F3" i="14"/>
  <c r="E3" i="14"/>
  <c r="D3" i="14"/>
  <c r="C3" i="14"/>
  <c r="I2" i="14"/>
  <c r="H2" i="14"/>
  <c r="G2" i="14"/>
  <c r="G26" i="14" s="1"/>
  <c r="F2" i="14"/>
  <c r="E2" i="14"/>
  <c r="C2" i="14"/>
  <c r="C33" i="12"/>
  <c r="C32" i="12"/>
  <c r="C31" i="12"/>
  <c r="D31" i="12" s="1"/>
  <c r="G31" i="12" s="1"/>
  <c r="C30" i="12"/>
  <c r="C29" i="12"/>
  <c r="C28" i="12"/>
  <c r="D28" i="12" s="1"/>
  <c r="G28" i="12" s="1"/>
  <c r="C27" i="12"/>
  <c r="C26" i="12"/>
  <c r="C25" i="12"/>
  <c r="C24" i="12"/>
  <c r="C23" i="12"/>
  <c r="C22" i="12"/>
  <c r="D22" i="12" s="1"/>
  <c r="G22" i="12" s="1"/>
  <c r="C21" i="12"/>
  <c r="C20" i="12"/>
  <c r="C19" i="12"/>
  <c r="D19" i="12" s="1"/>
  <c r="G19" i="12" s="1"/>
  <c r="C18" i="12"/>
  <c r="C17" i="12"/>
  <c r="C16" i="12"/>
  <c r="C15" i="12"/>
  <c r="C14" i="12"/>
  <c r="C13" i="12"/>
  <c r="C12" i="12"/>
  <c r="C11" i="12"/>
  <c r="D11" i="12" s="1"/>
  <c r="G11" i="12" s="1"/>
  <c r="C10" i="12"/>
  <c r="C9" i="12"/>
  <c r="C8" i="12"/>
  <c r="C7" i="12"/>
  <c r="C6" i="12"/>
  <c r="D6" i="12" s="1"/>
  <c r="G6" i="12" s="1"/>
  <c r="C5" i="12"/>
  <c r="C4" i="12"/>
  <c r="C3" i="12"/>
  <c r="C2" i="12"/>
  <c r="C69" i="12"/>
  <c r="C68" i="12"/>
  <c r="C67" i="12"/>
  <c r="C66" i="12"/>
  <c r="D66" i="12" s="1"/>
  <c r="G66" i="12" s="1"/>
  <c r="C65" i="12"/>
  <c r="C64" i="12"/>
  <c r="D64" i="12" s="1"/>
  <c r="G64" i="12" s="1"/>
  <c r="C63" i="12"/>
  <c r="D63" i="12" s="1"/>
  <c r="G63" i="12" s="1"/>
  <c r="C62" i="12"/>
  <c r="D62" i="12" s="1"/>
  <c r="C61" i="12"/>
  <c r="C60" i="12"/>
  <c r="C59" i="12"/>
  <c r="C58" i="12"/>
  <c r="D58" i="12" s="1"/>
  <c r="G58" i="12" s="1"/>
  <c r="C57" i="12"/>
  <c r="C56" i="12"/>
  <c r="C55" i="12"/>
  <c r="D55" i="12" s="1"/>
  <c r="G55" i="12" s="1"/>
  <c r="C54" i="12"/>
  <c r="C53" i="12"/>
  <c r="C52" i="12"/>
  <c r="C51" i="12"/>
  <c r="C50" i="12"/>
  <c r="D50" i="12" s="1"/>
  <c r="G50" i="12" s="1"/>
  <c r="C49" i="12"/>
  <c r="C48" i="12"/>
  <c r="C47" i="12"/>
  <c r="C46" i="12"/>
  <c r="D46" i="12" s="1"/>
  <c r="C45" i="12"/>
  <c r="C44" i="12"/>
  <c r="C43" i="12"/>
  <c r="C42" i="12"/>
  <c r="D42" i="12" s="1"/>
  <c r="G42" i="12" s="1"/>
  <c r="C41" i="12"/>
  <c r="C40" i="12"/>
  <c r="D40" i="12" s="1"/>
  <c r="G40" i="12" s="1"/>
  <c r="C39" i="12"/>
  <c r="D39" i="12" s="1"/>
  <c r="G39" i="12" s="1"/>
  <c r="C38" i="12"/>
  <c r="B70" i="12"/>
  <c r="C70" i="12" s="1"/>
  <c r="B34" i="12"/>
  <c r="C34" i="12" s="1"/>
  <c r="D34" i="12" s="1"/>
  <c r="G34" i="12" s="1"/>
  <c r="D69" i="12"/>
  <c r="G69" i="12" s="1"/>
  <c r="D68" i="12"/>
  <c r="G68" i="12"/>
  <c r="D67" i="12"/>
  <c r="G67" i="12" s="1"/>
  <c r="G62" i="12"/>
  <c r="D61" i="12"/>
  <c r="G61" i="12" s="1"/>
  <c r="D60" i="12"/>
  <c r="G60" i="12"/>
  <c r="D59" i="12"/>
  <c r="G59" i="12" s="1"/>
  <c r="D54" i="12"/>
  <c r="G54" i="12"/>
  <c r="D53" i="12"/>
  <c r="G53" i="12" s="1"/>
  <c r="D52" i="12"/>
  <c r="G52" i="12"/>
  <c r="D51" i="12"/>
  <c r="G51" i="12" s="1"/>
  <c r="D47" i="12"/>
  <c r="G47" i="12" s="1"/>
  <c r="G46" i="12"/>
  <c r="D45" i="12"/>
  <c r="G45" i="12" s="1"/>
  <c r="D44" i="12"/>
  <c r="G44" i="12"/>
  <c r="D43" i="12"/>
  <c r="G43" i="12" s="1"/>
  <c r="D38" i="12"/>
  <c r="F71" i="12"/>
  <c r="B71" i="12"/>
  <c r="D65" i="12"/>
  <c r="G65" i="12" s="1"/>
  <c r="D57" i="12"/>
  <c r="G57" i="12" s="1"/>
  <c r="D56" i="12"/>
  <c r="G56" i="12" s="1"/>
  <c r="D49" i="12"/>
  <c r="G49" i="12" s="1"/>
  <c r="D48" i="12"/>
  <c r="G48" i="12" s="1"/>
  <c r="D41" i="12"/>
  <c r="G41" i="12" s="1"/>
  <c r="F35" i="12"/>
  <c r="B35" i="12"/>
  <c r="C71" i="12"/>
  <c r="G38" i="12"/>
  <c r="D32" i="12"/>
  <c r="G32" i="12" s="1"/>
  <c r="D30" i="12"/>
  <c r="G30" i="12"/>
  <c r="D27" i="12"/>
  <c r="G27" i="12" s="1"/>
  <c r="D24" i="12"/>
  <c r="G24" i="12" s="1"/>
  <c r="D23" i="12"/>
  <c r="G23" i="12" s="1"/>
  <c r="D20" i="12"/>
  <c r="G20" i="12" s="1"/>
  <c r="D18" i="12"/>
  <c r="G18" i="12" s="1"/>
  <c r="D16" i="12"/>
  <c r="G16" i="12" s="1"/>
  <c r="D15" i="12"/>
  <c r="G15" i="12" s="1"/>
  <c r="D14" i="12"/>
  <c r="G14" i="12" s="1"/>
  <c r="D12" i="12"/>
  <c r="G12" i="12" s="1"/>
  <c r="D10" i="12"/>
  <c r="G10" i="12" s="1"/>
  <c r="D8" i="12"/>
  <c r="G8" i="12" s="1"/>
  <c r="D7" i="12"/>
  <c r="G7" i="12"/>
  <c r="D4" i="12"/>
  <c r="G4" i="12" s="1"/>
  <c r="D33" i="12"/>
  <c r="G33" i="12"/>
  <c r="D29" i="12"/>
  <c r="G29" i="12" s="1"/>
  <c r="D25" i="12"/>
  <c r="G25" i="12" s="1"/>
  <c r="D21" i="12"/>
  <c r="G21" i="12" s="1"/>
  <c r="D17" i="12"/>
  <c r="G17" i="12"/>
  <c r="D13" i="12"/>
  <c r="G13" i="12" s="1"/>
  <c r="D9" i="12"/>
  <c r="G9" i="12" s="1"/>
  <c r="D5" i="12"/>
  <c r="G5" i="12" s="1"/>
  <c r="D2" i="12"/>
  <c r="G2" i="12" s="1"/>
  <c r="D26" i="12"/>
  <c r="J11" i="14"/>
  <c r="J2" i="14"/>
  <c r="J26" i="14" s="1"/>
  <c r="G26" i="12"/>
  <c r="AV27" i="9"/>
  <c r="AW17" i="9"/>
  <c r="AZ17" i="9" s="1"/>
  <c r="BE17" i="9" s="1"/>
  <c r="AW12" i="9"/>
  <c r="AZ12" i="9" s="1"/>
  <c r="BE12" i="9" s="1"/>
  <c r="BD74" i="9"/>
  <c r="AZ74" i="9"/>
  <c r="BD73" i="9"/>
  <c r="AZ73" i="9"/>
  <c r="BD72" i="9"/>
  <c r="BE72" i="9" s="1"/>
  <c r="AZ72" i="9"/>
  <c r="BD71" i="9"/>
  <c r="AZ71" i="9"/>
  <c r="BE71" i="9"/>
  <c r="BD70" i="9"/>
  <c r="AZ70" i="9"/>
  <c r="BD69" i="9"/>
  <c r="AZ69" i="9"/>
  <c r="BE69" i="9" s="1"/>
  <c r="BD68" i="9"/>
  <c r="AZ68" i="9"/>
  <c r="Z68" i="9"/>
  <c r="Z45" i="9" s="1"/>
  <c r="BD67" i="9"/>
  <c r="AZ67" i="9"/>
  <c r="BD66" i="9"/>
  <c r="AZ66" i="9"/>
  <c r="BD65" i="9"/>
  <c r="AZ65" i="9"/>
  <c r="BD64" i="9"/>
  <c r="AZ64" i="9"/>
  <c r="BD63" i="9"/>
  <c r="AZ63" i="9"/>
  <c r="BD62" i="9"/>
  <c r="AZ62" i="9"/>
  <c r="BE62" i="9" s="1"/>
  <c r="BD61" i="9"/>
  <c r="AZ61" i="9"/>
  <c r="BD60" i="9"/>
  <c r="BE60" i="9" s="1"/>
  <c r="AZ60" i="9"/>
  <c r="BD59" i="9"/>
  <c r="AZ59" i="9"/>
  <c r="BD58" i="9"/>
  <c r="AZ58" i="9"/>
  <c r="BE58" i="9" s="1"/>
  <c r="BD57" i="9"/>
  <c r="AZ57" i="9"/>
  <c r="BD56" i="9"/>
  <c r="BE56" i="9" s="1"/>
  <c r="AZ56" i="9"/>
  <c r="BD55" i="9"/>
  <c r="AZ55" i="9"/>
  <c r="BD54" i="9"/>
  <c r="AZ54" i="9"/>
  <c r="BD53" i="9"/>
  <c r="AZ53" i="9"/>
  <c r="BD52" i="9"/>
  <c r="AZ52" i="9"/>
  <c r="BD51" i="9"/>
  <c r="AZ51" i="9"/>
  <c r="BD50" i="9"/>
  <c r="AZ50" i="9"/>
  <c r="BD49" i="9"/>
  <c r="AZ49" i="9"/>
  <c r="BD48" i="9"/>
  <c r="AZ48" i="9"/>
  <c r="BD47" i="9"/>
  <c r="AZ47" i="9"/>
  <c r="BD46" i="9"/>
  <c r="AZ46" i="9"/>
  <c r="BE46" i="9" s="1"/>
  <c r="BC45" i="9"/>
  <c r="BB45" i="9"/>
  <c r="BA45" i="9"/>
  <c r="AY45" i="9"/>
  <c r="AX45" i="9"/>
  <c r="AW45" i="9"/>
  <c r="AV45" i="9"/>
  <c r="AU45" i="9"/>
  <c r="AT45" i="9"/>
  <c r="AS45" i="9"/>
  <c r="AR45" i="9"/>
  <c r="AQ45" i="9"/>
  <c r="AP45" i="9"/>
  <c r="AO45" i="9"/>
  <c r="AN45" i="9"/>
  <c r="AM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C45" i="9"/>
  <c r="C75" i="9" s="1"/>
  <c r="B45" i="9"/>
  <c r="BD43" i="9"/>
  <c r="AZ43" i="9"/>
  <c r="BE43" i="9"/>
  <c r="AM43" i="9"/>
  <c r="AR43" i="9" s="1"/>
  <c r="AU43" i="9" s="1"/>
  <c r="AK43" i="9"/>
  <c r="AJ43" i="9"/>
  <c r="AE43" i="9"/>
  <c r="Z43" i="9"/>
  <c r="U43" i="9"/>
  <c r="P43" i="9"/>
  <c r="K43" i="9"/>
  <c r="F43" i="9"/>
  <c r="BD42" i="9"/>
  <c r="AZ42" i="9"/>
  <c r="AM42" i="9"/>
  <c r="AK42" i="9"/>
  <c r="AJ42" i="9"/>
  <c r="AE42" i="9"/>
  <c r="Z42" i="9"/>
  <c r="U42" i="9"/>
  <c r="P42" i="9"/>
  <c r="K42" i="9"/>
  <c r="F42" i="9"/>
  <c r="BD41" i="9"/>
  <c r="AZ41" i="9"/>
  <c r="AM41" i="9"/>
  <c r="AK41" i="9"/>
  <c r="AJ41" i="9"/>
  <c r="AE41" i="9"/>
  <c r="Z41" i="9"/>
  <c r="U41" i="9"/>
  <c r="P41" i="9"/>
  <c r="K41" i="9"/>
  <c r="F41" i="9"/>
  <c r="BD40" i="9"/>
  <c r="AZ40" i="9"/>
  <c r="AM40" i="9"/>
  <c r="AK40" i="9"/>
  <c r="AJ40" i="9"/>
  <c r="AE40" i="9"/>
  <c r="Z40" i="9"/>
  <c r="U40" i="9"/>
  <c r="P40" i="9"/>
  <c r="K40" i="9"/>
  <c r="F40" i="9"/>
  <c r="BD39" i="9"/>
  <c r="BE39" i="9" s="1"/>
  <c r="AZ39" i="9"/>
  <c r="AM39" i="9"/>
  <c r="AK39" i="9"/>
  <c r="AJ39" i="9"/>
  <c r="AE39" i="9"/>
  <c r="Z39" i="9"/>
  <c r="U39" i="9"/>
  <c r="P39" i="9"/>
  <c r="K39" i="9"/>
  <c r="F39" i="9"/>
  <c r="BD38" i="9"/>
  <c r="AZ38" i="9"/>
  <c r="AM38" i="9"/>
  <c r="AK38" i="9"/>
  <c r="AJ38" i="9"/>
  <c r="AE38" i="9"/>
  <c r="Z38" i="9"/>
  <c r="U38" i="9"/>
  <c r="P38" i="9"/>
  <c r="K38" i="9"/>
  <c r="F38" i="9"/>
  <c r="BD37" i="9"/>
  <c r="AZ37" i="9"/>
  <c r="AM37" i="9"/>
  <c r="AK37" i="9"/>
  <c r="AJ37" i="9"/>
  <c r="AE37" i="9"/>
  <c r="Z37" i="9"/>
  <c r="U37" i="9"/>
  <c r="P37" i="9"/>
  <c r="K37" i="9"/>
  <c r="F37" i="9"/>
  <c r="BD36" i="9"/>
  <c r="AZ36" i="9"/>
  <c r="AM36" i="9"/>
  <c r="AK36" i="9"/>
  <c r="AJ36" i="9"/>
  <c r="AE36" i="9"/>
  <c r="Z36" i="9"/>
  <c r="U36" i="9"/>
  <c r="P36" i="9"/>
  <c r="K36" i="9"/>
  <c r="F36" i="9"/>
  <c r="BD35" i="9"/>
  <c r="AZ35" i="9"/>
  <c r="AM35" i="9"/>
  <c r="AK35" i="9"/>
  <c r="AR35" i="9" s="1"/>
  <c r="AU35" i="9" s="1"/>
  <c r="AJ35" i="9"/>
  <c r="AE35" i="9"/>
  <c r="Z35" i="9"/>
  <c r="Z27" i="9" s="1"/>
  <c r="U35" i="9"/>
  <c r="P35" i="9"/>
  <c r="K35" i="9"/>
  <c r="F35" i="9"/>
  <c r="BD34" i="9"/>
  <c r="AZ34" i="9"/>
  <c r="AM34" i="9"/>
  <c r="AK34" i="9"/>
  <c r="AK27" i="9" s="1"/>
  <c r="AJ34" i="9"/>
  <c r="AE34" i="9"/>
  <c r="Z34" i="9"/>
  <c r="U34" i="9"/>
  <c r="P34" i="9"/>
  <c r="K34" i="9"/>
  <c r="F34" i="9"/>
  <c r="F27" i="9" s="1"/>
  <c r="BD33" i="9"/>
  <c r="BE33" i="9" s="1"/>
  <c r="AZ33" i="9"/>
  <c r="AM33" i="9"/>
  <c r="AK33" i="9"/>
  <c r="AJ33" i="9"/>
  <c r="AE33" i="9"/>
  <c r="Z33" i="9"/>
  <c r="U33" i="9"/>
  <c r="P33" i="9"/>
  <c r="P27" i="9" s="1"/>
  <c r="K33" i="9"/>
  <c r="F33" i="9"/>
  <c r="BD32" i="9"/>
  <c r="AZ32" i="9"/>
  <c r="AM32" i="9"/>
  <c r="AK32" i="9"/>
  <c r="AJ32" i="9"/>
  <c r="AE32" i="9"/>
  <c r="Z32" i="9"/>
  <c r="U32" i="9"/>
  <c r="P32" i="9"/>
  <c r="K32" i="9"/>
  <c r="F32" i="9"/>
  <c r="BD31" i="9"/>
  <c r="AZ31" i="9"/>
  <c r="AM31" i="9"/>
  <c r="AR31" i="9" s="1"/>
  <c r="AU31" i="9" s="1"/>
  <c r="AK31" i="9"/>
  <c r="AJ31" i="9"/>
  <c r="AE31" i="9"/>
  <c r="Z31" i="9"/>
  <c r="U31" i="9"/>
  <c r="P31" i="9"/>
  <c r="K31" i="9"/>
  <c r="F31" i="9"/>
  <c r="BD30" i="9"/>
  <c r="AZ30" i="9"/>
  <c r="AM30" i="9"/>
  <c r="AK30" i="9"/>
  <c r="AJ30" i="9"/>
  <c r="AE30" i="9"/>
  <c r="Z30" i="9"/>
  <c r="U30" i="9"/>
  <c r="P30" i="9"/>
  <c r="K30" i="9"/>
  <c r="F30" i="9"/>
  <c r="BD29" i="9"/>
  <c r="AZ29" i="9"/>
  <c r="AM29" i="9"/>
  <c r="AK29" i="9"/>
  <c r="AJ29" i="9"/>
  <c r="AE29" i="9"/>
  <c r="Z29" i="9"/>
  <c r="U29" i="9"/>
  <c r="U27" i="9" s="1"/>
  <c r="P29" i="9"/>
  <c r="K29" i="9"/>
  <c r="F29" i="9"/>
  <c r="BD28" i="9"/>
  <c r="AZ28" i="9"/>
  <c r="AM28" i="9"/>
  <c r="AK28" i="9"/>
  <c r="AJ28" i="9"/>
  <c r="AJ27" i="9" s="1"/>
  <c r="AE28" i="9"/>
  <c r="AE27" i="9" s="1"/>
  <c r="Z28" i="9"/>
  <c r="U28" i="9"/>
  <c r="P28" i="9"/>
  <c r="K28" i="9"/>
  <c r="F28" i="9"/>
  <c r="BC27" i="9"/>
  <c r="BB27" i="9"/>
  <c r="BA27" i="9"/>
  <c r="BA44" i="9" s="1"/>
  <c r="AY27" i="9"/>
  <c r="AX27" i="9"/>
  <c r="AW27" i="9"/>
  <c r="AT27" i="9"/>
  <c r="AS27" i="9"/>
  <c r="AQ27" i="9"/>
  <c r="AP27" i="9"/>
  <c r="AO27" i="9"/>
  <c r="AN27" i="9"/>
  <c r="AL27" i="9"/>
  <c r="AI27" i="9"/>
  <c r="AH27" i="9"/>
  <c r="AG27" i="9"/>
  <c r="AF27" i="9"/>
  <c r="AD27" i="9"/>
  <c r="AC27" i="9"/>
  <c r="AB27" i="9"/>
  <c r="AA27" i="9"/>
  <c r="Y27" i="9"/>
  <c r="Y44" i="9" s="1"/>
  <c r="X27" i="9"/>
  <c r="W27" i="9"/>
  <c r="V27" i="9"/>
  <c r="T27" i="9"/>
  <c r="S27" i="9"/>
  <c r="S44" i="9" s="1"/>
  <c r="S75" i="9" s="1"/>
  <c r="R27" i="9"/>
  <c r="Q27" i="9"/>
  <c r="O27" i="9"/>
  <c r="N27" i="9"/>
  <c r="M27" i="9"/>
  <c r="L27" i="9"/>
  <c r="J27" i="9"/>
  <c r="I27" i="9"/>
  <c r="H27" i="9"/>
  <c r="G27" i="9"/>
  <c r="E27" i="9"/>
  <c r="D27" i="9"/>
  <c r="C27" i="9"/>
  <c r="B27" i="9"/>
  <c r="BD26" i="9"/>
  <c r="AZ26" i="9"/>
  <c r="AM26" i="9"/>
  <c r="AK26" i="9"/>
  <c r="AR26" i="9"/>
  <c r="AU26" i="9" s="1"/>
  <c r="AJ26" i="9"/>
  <c r="AE26" i="9"/>
  <c r="Z26" i="9"/>
  <c r="U26" i="9"/>
  <c r="P26" i="9"/>
  <c r="K26" i="9"/>
  <c r="F26" i="9"/>
  <c r="BD25" i="9"/>
  <c r="AZ25" i="9"/>
  <c r="AM25" i="9"/>
  <c r="AK25" i="9"/>
  <c r="AR25" i="9" s="1"/>
  <c r="AU25" i="9" s="1"/>
  <c r="AJ25" i="9"/>
  <c r="AE25" i="9"/>
  <c r="AE10" i="9" s="1"/>
  <c r="AE44" i="9" s="1"/>
  <c r="AE75" i="9" s="1"/>
  <c r="Z25" i="9"/>
  <c r="U25" i="9"/>
  <c r="P25" i="9"/>
  <c r="K25" i="9"/>
  <c r="F25" i="9"/>
  <c r="F10" i="9" s="1"/>
  <c r="BD24" i="9"/>
  <c r="AZ24" i="9"/>
  <c r="AM24" i="9"/>
  <c r="AK24" i="9"/>
  <c r="AJ24" i="9"/>
  <c r="AE24" i="9"/>
  <c r="Z24" i="9"/>
  <c r="U24" i="9"/>
  <c r="P24" i="9"/>
  <c r="K24" i="9"/>
  <c r="F24" i="9"/>
  <c r="BD23" i="9"/>
  <c r="AZ23" i="9"/>
  <c r="AM23" i="9"/>
  <c r="AK23" i="9"/>
  <c r="AR23" i="9" s="1"/>
  <c r="AJ23" i="9"/>
  <c r="AE23" i="9"/>
  <c r="Z23" i="9"/>
  <c r="U23" i="9"/>
  <c r="P23" i="9"/>
  <c r="K23" i="9"/>
  <c r="F23" i="9"/>
  <c r="BD22" i="9"/>
  <c r="AZ22" i="9"/>
  <c r="BE22" i="9" s="1"/>
  <c r="AM22" i="9"/>
  <c r="AK22" i="9"/>
  <c r="AJ22" i="9"/>
  <c r="AE22" i="9"/>
  <c r="Z22" i="9"/>
  <c r="U22" i="9"/>
  <c r="P22" i="9"/>
  <c r="K22" i="9"/>
  <c r="F22" i="9"/>
  <c r="BD21" i="9"/>
  <c r="AZ21" i="9"/>
  <c r="AM21" i="9"/>
  <c r="AK21" i="9"/>
  <c r="AJ21" i="9"/>
  <c r="AE21" i="9"/>
  <c r="Z21" i="9"/>
  <c r="U21" i="9"/>
  <c r="P21" i="9"/>
  <c r="K21" i="9"/>
  <c r="F21" i="9"/>
  <c r="BD20" i="9"/>
  <c r="AZ20" i="9"/>
  <c r="AM20" i="9"/>
  <c r="AK20" i="9"/>
  <c r="AR20" i="9" s="1"/>
  <c r="AU20" i="9" s="1"/>
  <c r="AJ20" i="9"/>
  <c r="AE20" i="9"/>
  <c r="Z20" i="9"/>
  <c r="U20" i="9"/>
  <c r="P20" i="9"/>
  <c r="K20" i="9"/>
  <c r="F20" i="9"/>
  <c r="BD19" i="9"/>
  <c r="AZ19" i="9"/>
  <c r="AM19" i="9"/>
  <c r="AK19" i="9"/>
  <c r="AR19" i="9" s="1"/>
  <c r="AU19" i="9" s="1"/>
  <c r="AJ19" i="9"/>
  <c r="AE19" i="9"/>
  <c r="Z19" i="9"/>
  <c r="U19" i="9"/>
  <c r="P19" i="9"/>
  <c r="K19" i="9"/>
  <c r="F19" i="9"/>
  <c r="BD18" i="9"/>
  <c r="AZ18" i="9"/>
  <c r="AM18" i="9"/>
  <c r="AK18" i="9"/>
  <c r="AJ18" i="9"/>
  <c r="AE18" i="9"/>
  <c r="Z18" i="9"/>
  <c r="Z10" i="9" s="1"/>
  <c r="U18" i="9"/>
  <c r="P18" i="9"/>
  <c r="K18" i="9"/>
  <c r="F18" i="9"/>
  <c r="BD17" i="9"/>
  <c r="AM17" i="9"/>
  <c r="AK17" i="9"/>
  <c r="AJ17" i="9"/>
  <c r="AE17" i="9"/>
  <c r="Z17" i="9"/>
  <c r="U17" i="9"/>
  <c r="P17" i="9"/>
  <c r="K17" i="9"/>
  <c r="F17" i="9"/>
  <c r="BD16" i="9"/>
  <c r="AZ16" i="9"/>
  <c r="BE16" i="9" s="1"/>
  <c r="AM16" i="9"/>
  <c r="AK16" i="9"/>
  <c r="AR16" i="9" s="1"/>
  <c r="AU16" i="9"/>
  <c r="AJ16" i="9"/>
  <c r="AE16" i="9"/>
  <c r="Z16" i="9"/>
  <c r="U16" i="9"/>
  <c r="P16" i="9"/>
  <c r="K16" i="9"/>
  <c r="F16" i="9"/>
  <c r="BD15" i="9"/>
  <c r="BE15" i="9" s="1"/>
  <c r="AZ15" i="9"/>
  <c r="AM15" i="9"/>
  <c r="AK15" i="9"/>
  <c r="AJ15" i="9"/>
  <c r="AE15" i="9"/>
  <c r="Z15" i="9"/>
  <c r="U15" i="9"/>
  <c r="P15" i="9"/>
  <c r="K15" i="9"/>
  <c r="F15" i="9"/>
  <c r="BD14" i="9"/>
  <c r="AZ14" i="9"/>
  <c r="BE14" i="9" s="1"/>
  <c r="AM14" i="9"/>
  <c r="AK14" i="9"/>
  <c r="AR14" i="9" s="1"/>
  <c r="AU14" i="9"/>
  <c r="AJ14" i="9"/>
  <c r="AJ10" i="9" s="1"/>
  <c r="AJ44" i="9" s="1"/>
  <c r="AJ75" i="9" s="1"/>
  <c r="AE14" i="9"/>
  <c r="Z14" i="9"/>
  <c r="U14" i="9"/>
  <c r="P14" i="9"/>
  <c r="K14" i="9"/>
  <c r="F14" i="9"/>
  <c r="BD13" i="9"/>
  <c r="AZ13" i="9"/>
  <c r="AM13" i="9"/>
  <c r="AK13" i="9"/>
  <c r="AJ13" i="9"/>
  <c r="AE13" i="9"/>
  <c r="Z13" i="9"/>
  <c r="U13" i="9"/>
  <c r="P13" i="9"/>
  <c r="K13" i="9"/>
  <c r="K10" i="9" s="1"/>
  <c r="F13" i="9"/>
  <c r="BD12" i="9"/>
  <c r="AM12" i="9"/>
  <c r="AK12" i="9"/>
  <c r="AJ12" i="9"/>
  <c r="AE12" i="9"/>
  <c r="Z12" i="9"/>
  <c r="U12" i="9"/>
  <c r="U10" i="9" s="1"/>
  <c r="U44" i="9" s="1"/>
  <c r="U75" i="9" s="1"/>
  <c r="P12" i="9"/>
  <c r="K12" i="9"/>
  <c r="F12" i="9"/>
  <c r="BD11" i="9"/>
  <c r="AZ11" i="9"/>
  <c r="AM11" i="9"/>
  <c r="AK11" i="9"/>
  <c r="AR11" i="9"/>
  <c r="AJ11" i="9"/>
  <c r="AE11" i="9"/>
  <c r="Z11" i="9"/>
  <c r="U11" i="9"/>
  <c r="P11" i="9"/>
  <c r="K11" i="9"/>
  <c r="F11" i="9"/>
  <c r="BC10" i="9"/>
  <c r="BB10" i="9"/>
  <c r="BA10" i="9"/>
  <c r="AY10" i="9"/>
  <c r="AX10" i="9"/>
  <c r="AV10" i="9"/>
  <c r="AT10" i="9"/>
  <c r="AT44" i="9"/>
  <c r="AT75" i="9" s="1"/>
  <c r="AS10" i="9"/>
  <c r="AS44" i="9"/>
  <c r="AS75" i="9"/>
  <c r="AQ10" i="9"/>
  <c r="AP10" i="9"/>
  <c r="AP44" i="9" s="1"/>
  <c r="AO10" i="9"/>
  <c r="AO44" i="9"/>
  <c r="AO75" i="9" s="1"/>
  <c r="AN10" i="9"/>
  <c r="AL10" i="9"/>
  <c r="AL44" i="9" s="1"/>
  <c r="AL75" i="9" s="1"/>
  <c r="AI10" i="9"/>
  <c r="AH10" i="9"/>
  <c r="AG10" i="9"/>
  <c r="AG44" i="9" s="1"/>
  <c r="AG75" i="9" s="1"/>
  <c r="AF10" i="9"/>
  <c r="AF44" i="9"/>
  <c r="AD10" i="9"/>
  <c r="AC10" i="9"/>
  <c r="AC44" i="9" s="1"/>
  <c r="AC75" i="9" s="1"/>
  <c r="AB10" i="9"/>
  <c r="AA10" i="9"/>
  <c r="Y10" i="9"/>
  <c r="X10" i="9"/>
  <c r="W10" i="9"/>
  <c r="V10" i="9"/>
  <c r="V44" i="9" s="1"/>
  <c r="V75" i="9" s="1"/>
  <c r="T10" i="9"/>
  <c r="T44" i="9" s="1"/>
  <c r="T75" i="9" s="1"/>
  <c r="S10" i="9"/>
  <c r="R10" i="9"/>
  <c r="Q10" i="9"/>
  <c r="O10" i="9"/>
  <c r="N10" i="9"/>
  <c r="N44" i="9" s="1"/>
  <c r="M10" i="9"/>
  <c r="M44" i="9" s="1"/>
  <c r="M75" i="9" s="1"/>
  <c r="L10" i="9"/>
  <c r="L44" i="9"/>
  <c r="L75" i="9"/>
  <c r="J10" i="9"/>
  <c r="J44" i="9" s="1"/>
  <c r="J75" i="9" s="1"/>
  <c r="I10" i="9"/>
  <c r="I44" i="9" s="1"/>
  <c r="I75" i="9" s="1"/>
  <c r="H10" i="9"/>
  <c r="G10" i="9"/>
  <c r="E10" i="9"/>
  <c r="D10" i="9"/>
  <c r="D44" i="9" s="1"/>
  <c r="C10" i="9"/>
  <c r="C44" i="9" s="1"/>
  <c r="B10" i="9"/>
  <c r="B44" i="9" s="1"/>
  <c r="BE47" i="9"/>
  <c r="BE63" i="9"/>
  <c r="D34" i="8"/>
  <c r="B34" i="8"/>
  <c r="C33" i="8"/>
  <c r="E33" i="8" s="1"/>
  <c r="C32" i="8"/>
  <c r="E32" i="8"/>
  <c r="C31" i="8"/>
  <c r="E31" i="8" s="1"/>
  <c r="C30" i="8"/>
  <c r="E30" i="8"/>
  <c r="C29" i="8"/>
  <c r="E29" i="8" s="1"/>
  <c r="C28" i="8"/>
  <c r="E28" i="8"/>
  <c r="C27" i="8"/>
  <c r="E27" i="8" s="1"/>
  <c r="C26" i="8"/>
  <c r="E26" i="8"/>
  <c r="C25" i="8"/>
  <c r="E25" i="8" s="1"/>
  <c r="C24" i="8"/>
  <c r="E24" i="8"/>
  <c r="C23" i="8"/>
  <c r="E23" i="8" s="1"/>
  <c r="C22" i="8"/>
  <c r="E22" i="8"/>
  <c r="C21" i="8"/>
  <c r="E21" i="8" s="1"/>
  <c r="C20" i="8"/>
  <c r="E20" i="8"/>
  <c r="C19" i="8"/>
  <c r="E19" i="8" s="1"/>
  <c r="C18" i="8"/>
  <c r="E18" i="8"/>
  <c r="C17" i="8"/>
  <c r="E17" i="8" s="1"/>
  <c r="C16" i="8"/>
  <c r="E16" i="8"/>
  <c r="C15" i="8"/>
  <c r="E15" i="8" s="1"/>
  <c r="C14" i="8"/>
  <c r="E14" i="8"/>
  <c r="C13" i="8"/>
  <c r="C12" i="8"/>
  <c r="E12" i="8"/>
  <c r="C11" i="8"/>
  <c r="E11" i="8" s="1"/>
  <c r="C10" i="8"/>
  <c r="E10" i="8"/>
  <c r="C9" i="8"/>
  <c r="E9" i="8" s="1"/>
  <c r="C8" i="8"/>
  <c r="E8" i="8"/>
  <c r="C7" i="8"/>
  <c r="E7" i="8" s="1"/>
  <c r="C6" i="8"/>
  <c r="E6" i="8"/>
  <c r="C5" i="8"/>
  <c r="E5" i="8" s="1"/>
  <c r="C4" i="8"/>
  <c r="E4" i="8"/>
  <c r="C3" i="8"/>
  <c r="E3" i="8" s="1"/>
  <c r="C2" i="8"/>
  <c r="H16" i="14"/>
  <c r="I10" i="14"/>
  <c r="G10" i="14"/>
  <c r="E16" i="14"/>
  <c r="D16" i="14"/>
  <c r="C10" i="14"/>
  <c r="AR21" i="9"/>
  <c r="AU21" i="9"/>
  <c r="BE34" i="9"/>
  <c r="BE37" i="9"/>
  <c r="AA44" i="9"/>
  <c r="AA75" i="9" s="1"/>
  <c r="AX44" i="9"/>
  <c r="AX75" i="9"/>
  <c r="AR32" i="9"/>
  <c r="AU32" i="9" s="1"/>
  <c r="AR13" i="9"/>
  <c r="AU13" i="9" s="1"/>
  <c r="BE26" i="9"/>
  <c r="AR15" i="9"/>
  <c r="AU15" i="9" s="1"/>
  <c r="AF75" i="9"/>
  <c r="BE53" i="9"/>
  <c r="AR40" i="9"/>
  <c r="AU40" i="9" s="1"/>
  <c r="BE51" i="9"/>
  <c r="H44" i="9"/>
  <c r="H75" i="9" s="1"/>
  <c r="R44" i="9"/>
  <c r="BE38" i="9"/>
  <c r="AN44" i="9"/>
  <c r="AN75" i="9" s="1"/>
  <c r="BE18" i="9"/>
  <c r="AR30" i="9"/>
  <c r="AU30" i="9"/>
  <c r="BE73" i="9"/>
  <c r="AR36" i="9"/>
  <c r="AU36" i="9" s="1"/>
  <c r="AR17" i="9"/>
  <c r="AU17" i="9"/>
  <c r="AR39" i="9"/>
  <c r="AU39" i="9" s="1"/>
  <c r="B75" i="9"/>
  <c r="BE36" i="9"/>
  <c r="BE20" i="9"/>
  <c r="AU23" i="9"/>
  <c r="BE61" i="9"/>
  <c r="BE32" i="9"/>
  <c r="AR12" i="9"/>
  <c r="AU12" i="9" s="1"/>
  <c r="AR22" i="9"/>
  <c r="AU22" i="9"/>
  <c r="BE19" i="9"/>
  <c r="BE48" i="9"/>
  <c r="BE25" i="9"/>
  <c r="BE31" i="9"/>
  <c r="G44" i="9"/>
  <c r="G75" i="9"/>
  <c r="BE67" i="9"/>
  <c r="BE24" i="9"/>
  <c r="BE28" i="9"/>
  <c r="BE74" i="9"/>
  <c r="W44" i="9"/>
  <c r="W75" i="9" s="1"/>
  <c r="BE35" i="9"/>
  <c r="AR38" i="9"/>
  <c r="AU38" i="9"/>
  <c r="BE42" i="9"/>
  <c r="BE68" i="9"/>
  <c r="BE52" i="9"/>
  <c r="BD27" i="9"/>
  <c r="BE27" i="9" s="1"/>
  <c r="AZ27" i="9"/>
  <c r="Y75" i="9"/>
  <c r="BE23" i="9"/>
  <c r="AR41" i="9"/>
  <c r="AU41" i="9"/>
  <c r="O44" i="9"/>
  <c r="O75" i="9" s="1"/>
  <c r="AH44" i="9"/>
  <c r="AH75" i="9"/>
  <c r="K27" i="9"/>
  <c r="AP75" i="9"/>
  <c r="AB44" i="9"/>
  <c r="AB75" i="9"/>
  <c r="AI44" i="9"/>
  <c r="AI75" i="9"/>
  <c r="AR33" i="9"/>
  <c r="AU33" i="9" s="1"/>
  <c r="AR37" i="9"/>
  <c r="AU37" i="9"/>
  <c r="BE41" i="9"/>
  <c r="BE55" i="9"/>
  <c r="BE70" i="9"/>
  <c r="BD45" i="9"/>
  <c r="BE30" i="9"/>
  <c r="P10" i="9"/>
  <c r="R75" i="9"/>
  <c r="BE21" i="9"/>
  <c r="Q44" i="9"/>
  <c r="Q75" i="9"/>
  <c r="AM10" i="9"/>
  <c r="BE49" i="9"/>
  <c r="BE57" i="9"/>
  <c r="BE64" i="9"/>
  <c r="BE11" i="9"/>
  <c r="BE65" i="9"/>
  <c r="AY44" i="9"/>
  <c r="AY75" i="9"/>
  <c r="AQ44" i="9"/>
  <c r="AQ75" i="9"/>
  <c r="BE29" i="9"/>
  <c r="AR42" i="9"/>
  <c r="AU42" i="9"/>
  <c r="D75" i="9"/>
  <c r="AR28" i="9"/>
  <c r="AU28" i="9"/>
  <c r="AR24" i="9"/>
  <c r="AU24" i="9" s="1"/>
  <c r="E44" i="9"/>
  <c r="E75" i="9"/>
  <c r="X44" i="9"/>
  <c r="X75" i="9"/>
  <c r="BE59" i="9"/>
  <c r="BB44" i="9"/>
  <c r="BB75" i="9" s="1"/>
  <c r="AW10" i="9"/>
  <c r="AW44" i="9" s="1"/>
  <c r="AW75" i="9" s="1"/>
  <c r="D2" i="14"/>
  <c r="D26" i="14" s="1"/>
  <c r="E2" i="8"/>
  <c r="AV44" i="9"/>
  <c r="F9" i="14"/>
  <c r="H10" i="14"/>
  <c r="I16" i="14"/>
  <c r="I14" i="14"/>
  <c r="K44" i="9"/>
  <c r="K75" i="9" s="1"/>
  <c r="AV75" i="9"/>
  <c r="AZ10" i="9"/>
  <c r="O41" i="1" l="1"/>
  <c r="O16" i="1"/>
  <c r="O20" i="1"/>
  <c r="E26" i="14"/>
  <c r="H26" i="14"/>
  <c r="F26" i="14"/>
  <c r="G19" i="14"/>
  <c r="C19" i="14"/>
  <c r="G44" i="1"/>
  <c r="E17" i="14"/>
  <c r="F20" i="14"/>
  <c r="I26" i="14"/>
  <c r="J27" i="14" s="1"/>
  <c r="J29" i="14" s="1"/>
  <c r="J17" i="14"/>
  <c r="O36" i="1"/>
  <c r="O40" i="1"/>
  <c r="O11" i="1"/>
  <c r="O15" i="1"/>
  <c r="I9" i="1"/>
  <c r="J9" i="1" s="1"/>
  <c r="O29" i="1"/>
  <c r="C34" i="16"/>
  <c r="H17" i="14"/>
  <c r="D10" i="14"/>
  <c r="D17" i="14" s="1"/>
  <c r="C38" i="16"/>
  <c r="I19" i="14"/>
  <c r="M44" i="1"/>
  <c r="O31" i="1"/>
  <c r="O35" i="1"/>
  <c r="O39" i="1"/>
  <c r="O43" i="1"/>
  <c r="C20" i="14"/>
  <c r="H20" i="14"/>
  <c r="F44" i="1"/>
  <c r="O32" i="1"/>
  <c r="C29" i="16"/>
  <c r="E20" i="14"/>
  <c r="H44" i="1"/>
  <c r="O19" i="1"/>
  <c r="O23" i="1"/>
  <c r="D48" i="16"/>
  <c r="N27" i="1"/>
  <c r="B33" i="16"/>
  <c r="E24" i="18"/>
  <c r="D46" i="16"/>
  <c r="D50" i="16"/>
  <c r="O10" i="1"/>
  <c r="O14" i="1"/>
  <c r="O18" i="1"/>
  <c r="O22" i="1"/>
  <c r="B5" i="16"/>
  <c r="H27" i="14"/>
  <c r="H29" i="14" s="1"/>
  <c r="E19" i="14"/>
  <c r="D20" i="14"/>
  <c r="I20" i="14"/>
  <c r="G20" i="14"/>
  <c r="G17" i="14"/>
  <c r="O34" i="1"/>
  <c r="C26" i="14"/>
  <c r="D27" i="14" s="1"/>
  <c r="D29" i="14" s="1"/>
  <c r="E44" i="1"/>
  <c r="D44" i="1"/>
  <c r="O13" i="1"/>
  <c r="O17" i="1"/>
  <c r="O21" i="1"/>
  <c r="O25" i="1"/>
  <c r="F19" i="14"/>
  <c r="J27" i="1"/>
  <c r="O38" i="1"/>
  <c r="D44" i="16"/>
  <c r="O30" i="1"/>
  <c r="I17" i="14"/>
  <c r="F17" i="14"/>
  <c r="O28" i="1"/>
  <c r="O42" i="1"/>
  <c r="B8" i="16"/>
  <c r="H19" i="14"/>
  <c r="J20" i="14"/>
  <c r="O12" i="1"/>
  <c r="O24" i="1"/>
  <c r="O33" i="1"/>
  <c r="O37" i="1"/>
  <c r="E13" i="8"/>
  <c r="C34" i="8"/>
  <c r="E27" i="14"/>
  <c r="E29" i="14" s="1"/>
  <c r="Z44" i="9"/>
  <c r="Z75" i="9" s="1"/>
  <c r="F44" i="9"/>
  <c r="F75" i="9" s="1"/>
  <c r="AZ44" i="9"/>
  <c r="C25" i="16"/>
  <c r="C27" i="16"/>
  <c r="P44" i="9"/>
  <c r="P75" i="9" s="1"/>
  <c r="BD10" i="9"/>
  <c r="BE10" i="9" s="1"/>
  <c r="BC44" i="9"/>
  <c r="BC75" i="9" s="1"/>
  <c r="AU11" i="9"/>
  <c r="E34" i="8"/>
  <c r="BA75" i="9"/>
  <c r="BD44" i="9"/>
  <c r="B11" i="16"/>
  <c r="C28" i="16"/>
  <c r="AR34" i="9"/>
  <c r="AU34" i="9" s="1"/>
  <c r="BE40" i="9"/>
  <c r="BE50" i="9"/>
  <c r="BE54" i="9"/>
  <c r="BE66" i="9"/>
  <c r="C17" i="14"/>
  <c r="AR18" i="9"/>
  <c r="AU18" i="9" s="1"/>
  <c r="J19" i="14"/>
  <c r="G71" i="12"/>
  <c r="C35" i="12"/>
  <c r="D3" i="12"/>
  <c r="G3" i="12" s="1"/>
  <c r="G35" i="12" s="1"/>
  <c r="N75" i="9"/>
  <c r="AD44" i="9"/>
  <c r="AD75" i="9" s="1"/>
  <c r="BE13" i="9"/>
  <c r="AR29" i="9"/>
  <c r="AU29" i="9" s="1"/>
  <c r="AU27" i="9" s="1"/>
  <c r="AM27" i="9"/>
  <c r="AM44" i="9" s="1"/>
  <c r="AM75" i="9" s="1"/>
  <c r="D71" i="12"/>
  <c r="K44" i="1"/>
  <c r="AK10" i="9"/>
  <c r="AK44" i="9" s="1"/>
  <c r="AK75" i="9" s="1"/>
  <c r="AZ45" i="9"/>
  <c r="BE45" i="9" s="1"/>
  <c r="N9" i="1"/>
  <c r="L44" i="1"/>
  <c r="C51" i="16"/>
  <c r="D51" i="16" s="1"/>
  <c r="D70" i="12"/>
  <c r="G70" i="12" s="1"/>
  <c r="F27" i="14" l="1"/>
  <c r="F29" i="14" s="1"/>
  <c r="C40" i="16"/>
  <c r="B26" i="16"/>
  <c r="O27" i="1"/>
  <c r="G27" i="14"/>
  <c r="G29" i="14" s="1"/>
  <c r="I27" i="14"/>
  <c r="I29" i="14" s="1"/>
  <c r="B36" i="16"/>
  <c r="I44" i="1"/>
  <c r="J44" i="1" s="1"/>
  <c r="C37" i="16"/>
  <c r="C36" i="16"/>
  <c r="D19" i="14"/>
  <c r="O9" i="1"/>
  <c r="B37" i="16"/>
  <c r="B28" i="16"/>
  <c r="D28" i="16" s="1"/>
  <c r="B14" i="16"/>
  <c r="C35" i="16"/>
  <c r="C26" i="16"/>
  <c r="B24" i="16"/>
  <c r="B35" i="16"/>
  <c r="B7" i="16"/>
  <c r="B6" i="16"/>
  <c r="E6" i="16" s="1"/>
  <c r="B38" i="16"/>
  <c r="D38" i="16" s="1"/>
  <c r="B29" i="16"/>
  <c r="D29" i="16" s="1"/>
  <c r="B13" i="16"/>
  <c r="B16" i="16"/>
  <c r="AZ75" i="9"/>
  <c r="B27" i="16"/>
  <c r="D27" i="16" s="1"/>
  <c r="D26" i="16"/>
  <c r="AR27" i="9"/>
  <c r="BD75" i="9"/>
  <c r="BE44" i="9"/>
  <c r="BE75" i="9" s="1"/>
  <c r="C39" i="16"/>
  <c r="C30" i="16"/>
  <c r="D35" i="12"/>
  <c r="N44" i="1"/>
  <c r="AR10" i="9"/>
  <c r="AU10" i="9"/>
  <c r="AU44" i="9" s="1"/>
  <c r="AU75" i="9" s="1"/>
  <c r="B40" i="16"/>
  <c r="D36" i="16" l="1"/>
  <c r="D35" i="16"/>
  <c r="D37" i="16"/>
  <c r="E14" i="16"/>
  <c r="D40" i="16"/>
  <c r="O44" i="1"/>
  <c r="E7" i="16"/>
  <c r="E8" i="16"/>
  <c r="B15" i="16"/>
  <c r="E15" i="16" s="1"/>
  <c r="B9" i="16"/>
  <c r="E9" i="16" s="1"/>
  <c r="B39" i="16"/>
  <c r="D39" i="16" s="1"/>
  <c r="B30" i="16"/>
  <c r="D30" i="16" s="1"/>
  <c r="B12" i="16"/>
  <c r="B10" i="16"/>
  <c r="B34" i="16"/>
  <c r="D34" i="16" s="1"/>
  <c r="B25" i="16"/>
  <c r="D25" i="16" s="1"/>
  <c r="C33" i="16"/>
  <c r="D33" i="16" s="1"/>
  <c r="C24" i="16"/>
  <c r="D24" i="16" s="1"/>
  <c r="AR44" i="9"/>
  <c r="AR75" i="9" s="1"/>
  <c r="E12" i="16" l="1"/>
  <c r="E13" i="16"/>
  <c r="E11" i="16"/>
  <c r="E10" i="16"/>
</calcChain>
</file>

<file path=xl/sharedStrings.xml><?xml version="1.0" encoding="utf-8"?>
<sst xmlns="http://schemas.openxmlformats.org/spreadsheetml/2006/main" count="811" uniqueCount="338">
  <si>
    <t xml:space="preserve"> </t>
  </si>
  <si>
    <t>MINISTERIO DE HACIENDA Y CREDITO PUBLICO</t>
  </si>
  <si>
    <t>DIRECCION GENERAL DEL PRESUPUESTO PUBLICO NACIONAL - GRUPO DE EDUCACION</t>
  </si>
  <si>
    <t>(Cifras en millones de pesos)</t>
  </si>
  <si>
    <t>UNIVERSIDAD</t>
  </si>
  <si>
    <t>VIGENCIA 2002</t>
  </si>
  <si>
    <t>VIGENCIA 2003</t>
  </si>
  <si>
    <t>VIGENCIA 2004</t>
  </si>
  <si>
    <t>VIGENCIA 2005</t>
  </si>
  <si>
    <t>VIGENCIA 2006</t>
  </si>
  <si>
    <t>VIGENCIA 2007</t>
  </si>
  <si>
    <t>VIGENCIA 2008</t>
  </si>
  <si>
    <t>VIGENCIA 2009</t>
  </si>
  <si>
    <t>Funcionamiento</t>
  </si>
  <si>
    <t>INVERSION</t>
  </si>
  <si>
    <t>SERV.DEUDA</t>
  </si>
  <si>
    <t>TOTAL 2002</t>
  </si>
  <si>
    <t>TOTAL 2003</t>
  </si>
  <si>
    <t>TOTAL 2004</t>
  </si>
  <si>
    <t>FUNCIONAMIENTO</t>
  </si>
  <si>
    <t>TOTAL 2005</t>
  </si>
  <si>
    <t>TOTAL 2006</t>
  </si>
  <si>
    <t>TOTAL 2007</t>
  </si>
  <si>
    <t>TOTAL 2008</t>
  </si>
  <si>
    <t>TOTAL 2009</t>
  </si>
  <si>
    <t>INVERSIÓN</t>
  </si>
  <si>
    <t>ART. 86</t>
  </si>
  <si>
    <t>ART. 87 Res.3038/02</t>
  </si>
  <si>
    <t>ART. 87 Res.3305/03</t>
  </si>
  <si>
    <t>ART. 87 Res.4851/04</t>
  </si>
  <si>
    <t xml:space="preserve">ART. 87 </t>
  </si>
  <si>
    <t>ART. 87</t>
  </si>
  <si>
    <t>Concurrencia Pensiones</t>
  </si>
  <si>
    <t>Ajuste IPC 2007</t>
  </si>
  <si>
    <t>Ajuste IPC 2008 asignado en 2009</t>
  </si>
  <si>
    <t>Devolución Descuento 10% Votación</t>
  </si>
  <si>
    <t>Adición Res.10680/09</t>
  </si>
  <si>
    <t xml:space="preserve">Total Funcionamiento </t>
  </si>
  <si>
    <t>Total Funcionamiento</t>
  </si>
  <si>
    <t>ART.86</t>
  </si>
  <si>
    <t>2% ICFES - Artículos 10 y 11 Ley 1324/09</t>
  </si>
  <si>
    <t>Total Inversión</t>
  </si>
  <si>
    <t>Fortalecimiento base presupuestal</t>
  </si>
  <si>
    <t>A</t>
  </si>
  <si>
    <t>B</t>
  </si>
  <si>
    <t>C</t>
  </si>
  <si>
    <t>D</t>
  </si>
  <si>
    <t>E = A +D</t>
  </si>
  <si>
    <t>G</t>
  </si>
  <si>
    <t>H</t>
  </si>
  <si>
    <t>I=A+B+C+F+G</t>
  </si>
  <si>
    <t>I</t>
  </si>
  <si>
    <t>J</t>
  </si>
  <si>
    <t>K=A+B+C+F+G+J</t>
  </si>
  <si>
    <t>NACIONALES</t>
  </si>
  <si>
    <t>UNIV. NACIONAL DE COLOMBIA</t>
  </si>
  <si>
    <t>UNIV. DEL CAUCA</t>
  </si>
  <si>
    <t>UNIV. PEDAGOGICA NACIONAL</t>
  </si>
  <si>
    <t>UNIV. DE CALDAS</t>
  </si>
  <si>
    <t xml:space="preserve">UNIV. TEC. Y PED DE COL. </t>
  </si>
  <si>
    <t>UNIV. CORDOBA</t>
  </si>
  <si>
    <t>UNIV. TECNOLOGICA DEL CHOCO</t>
  </si>
  <si>
    <t>UNIV. DE LLANOS ORIENTALES</t>
  </si>
  <si>
    <t>UNIV. TECNOLOGICA DE PEREIRA</t>
  </si>
  <si>
    <t>UNIV. POPULAR DEL CESAR</t>
  </si>
  <si>
    <t>UNIV. SURCOLOMBIANA DE NEIVA</t>
  </si>
  <si>
    <t>UNIV. DE LA AMAZONIA</t>
  </si>
  <si>
    <t>UNIV. COLEGIO MAYOR DE C/MARCA</t>
  </si>
  <si>
    <t>UNIV. DEL PACIFICO</t>
  </si>
  <si>
    <t>UNIV. MILITAR NUEVA GRANADA</t>
  </si>
  <si>
    <t>UNIV. ABIERTA Y A DISTANCIA</t>
  </si>
  <si>
    <t>TERRITORIALES</t>
  </si>
  <si>
    <t>UNIV. DE ANTIOQUIA</t>
  </si>
  <si>
    <t>UNIV. DE CARTAGENA</t>
  </si>
  <si>
    <t>UNIV. DE NARINO</t>
  </si>
  <si>
    <t>UNIV. DE PAMPLONA</t>
  </si>
  <si>
    <t>UNIV. DEL ATLANTICO</t>
  </si>
  <si>
    <t>UNIV. DEL QUINDIO</t>
  </si>
  <si>
    <t>UNIV. DEL TOLIMA</t>
  </si>
  <si>
    <t>UNIV. DEL VALLE</t>
  </si>
  <si>
    <t>UNIV. DISTRITAL "FCO JOSE DE CALDAS"</t>
  </si>
  <si>
    <t>UNIV. INDUSTRIAL DE SANTANDER</t>
  </si>
  <si>
    <t>UNIV. DEL MAGDALENA</t>
  </si>
  <si>
    <t>UNIV. CUCUTA</t>
  </si>
  <si>
    <t>UNIV. OCANA</t>
  </si>
  <si>
    <t>UNIV. DE SUCRE</t>
  </si>
  <si>
    <t>UNIV. DE LA GUAJIRA</t>
  </si>
  <si>
    <t>UNIV. DE CUNDINAMARCA</t>
  </si>
  <si>
    <t>SUBTOTAL</t>
  </si>
  <si>
    <t>ESTAMPILLA</t>
  </si>
  <si>
    <t>TOTAL 2016</t>
  </si>
  <si>
    <t>APORTES DE LA NACION UNIVERSIDADES PUBLICAS EN CUMPLIMIENTO DE LA NORMATIVIDAD VIGENTE -  PERIODO 2002-2016</t>
  </si>
  <si>
    <t>INSTITUTO TECNOLOGICO METROPOLITANO</t>
  </si>
  <si>
    <t>INSTITUTO TECNICO NACIONAL DE COMERCIO SIMON RODRIGUEZ - INTENALCO</t>
  </si>
  <si>
    <t>ESCUELA NACIONAL DEL DEPORTE</t>
  </si>
  <si>
    <t>UNIDADES TECNOLOGICAS DE SANTANDER</t>
  </si>
  <si>
    <t>INSTITUTO NACIONAL DE FORMACION TECNICA PROFESIONAL DE SAN JUAN DEL CESAR</t>
  </si>
  <si>
    <t>CONSERVATORIO DEL TOLIMA</t>
  </si>
  <si>
    <t>TECNOLOGICO DE ANTIOQUIA</t>
  </si>
  <si>
    <t>INSTITUCION UNIVERSITARIA ANTONIO JOSE CAMACHO</t>
  </si>
  <si>
    <t>INSTITUTO TECNOLOGICO DEL PUTUMAYO</t>
  </si>
  <si>
    <t>COLEGIO MAYOR DE ANTIOQUIA</t>
  </si>
  <si>
    <t>INSTITUTO UNIVERSITARIO DE LA PAZ</t>
  </si>
  <si>
    <t>INSTITUTO DEPARTAMENTAL DE BELLAS ARTES</t>
  </si>
  <si>
    <t>ESCUELA SUPERIOR TECNOLOGICA DE ARTES DEBORA ARANGO</t>
  </si>
  <si>
    <t>UNIDAD CENTRAL DEL VALLE DEL CAUCA</t>
  </si>
  <si>
    <t>COLEGIO MAYOR DE BOLIVAR</t>
  </si>
  <si>
    <t>INSTITUTO TECNOLOGICO DE SOLEDAD ATLANTICO</t>
  </si>
  <si>
    <t>INSTITUTO DE EDUCACION TECNICA PROFESIONAL DE ROLDANILLO</t>
  </si>
  <si>
    <t>INSTITUCION UNIVERSITARIA PASCUAL BRAVO</t>
  </si>
  <si>
    <t>POLITECNICO COLOMBIANO JAIME ISAZA CADAVID</t>
  </si>
  <si>
    <t>COLEGIO MAYOR DEL CAUCA</t>
  </si>
  <si>
    <t>INSTITUTO SUPERIOR DE EDUCACION RURAL-ISER-</t>
  </si>
  <si>
    <t>INSTITUTO NACIONAL DE FORMACION TECNICA PROFESIONAL - HUMBERTO VELASQUEZ GARCIA</t>
  </si>
  <si>
    <t>INSTITUCION UNIVERSITARIA DE ENVIGADO</t>
  </si>
  <si>
    <t>INSTITUTO NACIONAL DE FORMACION TECNICA PROFESIONAL DE SAN ANDRES</t>
  </si>
  <si>
    <t>ESCUELA TECNOLOGICA INSTITUTO TECNICO CENTRAL</t>
  </si>
  <si>
    <t>INSTITUTO TOLIMENSE DE FORMACION TECNICA PROFESIONAL</t>
  </si>
  <si>
    <t>INSTITUTO TECNICO AGRICOLA ITA</t>
  </si>
  <si>
    <t>COLEGIO INTEGRADO NACIONAL ORIENTE DE CALDAS - IES CINOC</t>
  </si>
  <si>
    <t>INSTITUCION UNIVERSITARIA BELLAS ARTES Y CIENCIAS DE BOLIVAR</t>
  </si>
  <si>
    <t>ITTU</t>
  </si>
  <si>
    <t>TOTAL</t>
  </si>
  <si>
    <t>RECURSOS ESTAMPILLA</t>
  </si>
  <si>
    <t>ARTICULO 86 INVERSION</t>
  </si>
  <si>
    <t>APOYO DESCUENTO VOTACIONES</t>
  </si>
  <si>
    <t>CONCURRENCIA PENSIONAL</t>
  </si>
  <si>
    <t>CREE PRESUPUESTO MEN</t>
  </si>
  <si>
    <t>LEY 1607 DE 2012</t>
  </si>
  <si>
    <t>Leyes 403 de 1997 y 815 de 2013</t>
  </si>
  <si>
    <t>Ley 1371 de 2009</t>
  </si>
  <si>
    <t>LEY 30 DE 1992 (ART.86)</t>
  </si>
  <si>
    <t>MARCO LEGAL</t>
  </si>
  <si>
    <t>LEY 30 DE 1992 (ART.87)</t>
  </si>
  <si>
    <t>COLEGIO BOYACA</t>
  </si>
  <si>
    <t>BILBIOTECA PUBLICA PILOTO</t>
  </si>
  <si>
    <t>INSTITUTO TECNOLÓGICO DEL PUTUMAYO</t>
  </si>
  <si>
    <t>INSTITUTO NACIONAL DE FORMACIÓN  TECNICA PROFESIONAL DE CIENAGA</t>
  </si>
  <si>
    <t>COLEGIO INTEGRADO NACIONAL ORIENTE DE CALDAS</t>
  </si>
  <si>
    <t>INSTITUTO TECNOLÓGICO PASCUAL BRAVO</t>
  </si>
  <si>
    <t>INSTITUTO TECNOLÓGICO DE SOLEDAD ATLANTICO</t>
  </si>
  <si>
    <t>INSTITUTO SUPERIOR DE EDUCACIÓN RURAL DE PAMPLONA-ISER</t>
  </si>
  <si>
    <t xml:space="preserve">INSTITUTO DE EDUCACIÓN TÉCNICA PROFESIONAL DE ROLDANILLO </t>
  </si>
  <si>
    <t>DECRETO 3176 DE 2005 ARTÍCULO 2</t>
  </si>
  <si>
    <t xml:space="preserve">LEY 37 DE 1987 </t>
  </si>
  <si>
    <t>DECRETO 1052 DE 2006</t>
  </si>
  <si>
    <t>RECURSOS ENTIDADES DESCENTRALIZADAS:</t>
  </si>
  <si>
    <t>APROPIACIÓN VIGENCIA 2016</t>
  </si>
  <si>
    <t>Diferencial</t>
  </si>
  <si>
    <t>2015+7,77%</t>
  </si>
  <si>
    <t>Incluye lo que se encuentra en el rubro a-3-6-3 tanto recursos 10 como 11</t>
  </si>
  <si>
    <t>UNIV. TEC. Y PED DE COL.</t>
  </si>
  <si>
    <t>ESTAMPILLA*</t>
  </si>
  <si>
    <t>Recursos CREE*</t>
  </si>
  <si>
    <t>* Para la vigencia 2016 los recursos CREE y Estampilla corresponden a los efectivamente girado con corte al 28-10-2016.</t>
  </si>
  <si>
    <t>Vigencia</t>
  </si>
  <si>
    <t>Monto</t>
  </si>
  <si>
    <t>APORTES DE LA NACION UNIVERSIDADES PUBLICAS EN CUMPLIMIENTO DEL ARTICULO 87 LEY 30 DE 1992</t>
  </si>
  <si>
    <t>BOGOTA D.C</t>
  </si>
  <si>
    <t>CAUCA</t>
  </si>
  <si>
    <t>CALDAS</t>
  </si>
  <si>
    <t>BOYACA</t>
  </si>
  <si>
    <t>CHOCO</t>
  </si>
  <si>
    <t>META</t>
  </si>
  <si>
    <t>RISARALDA</t>
  </si>
  <si>
    <t>CESAR</t>
  </si>
  <si>
    <t>HUILA</t>
  </si>
  <si>
    <t>VALLE DEL CAUCA</t>
  </si>
  <si>
    <t>ANTIOQUIA</t>
  </si>
  <si>
    <t>BOLIVAR</t>
  </si>
  <si>
    <t>NORTE DE SANTANDER</t>
  </si>
  <si>
    <t>ATLANTICO</t>
  </si>
  <si>
    <t>QUINDIO</t>
  </si>
  <si>
    <t>TOLIMA</t>
  </si>
  <si>
    <t>SANTANDER</t>
  </si>
  <si>
    <t>MAGDALENA</t>
  </si>
  <si>
    <t>SUCRE</t>
  </si>
  <si>
    <t>GUAJIRA</t>
  </si>
  <si>
    <t>total</t>
  </si>
  <si>
    <t>DIFERENCIAL</t>
  </si>
  <si>
    <t>TOTALES</t>
  </si>
  <si>
    <t>Unidad Central del Valle-Tuluá</t>
  </si>
  <si>
    <t>5.75%+1</t>
  </si>
  <si>
    <t>5.75%</t>
  </si>
  <si>
    <t xml:space="preserve">Ampliación de Cobertura </t>
  </si>
  <si>
    <t>Ampliación Cobertura</t>
  </si>
  <si>
    <t>CREE</t>
  </si>
  <si>
    <t xml:space="preserve">TOTAL </t>
  </si>
  <si>
    <t>Concepto/Vigencia</t>
  </si>
  <si>
    <t xml:space="preserve">Ajuste IPC </t>
  </si>
  <si>
    <t>CÓDIGO IES</t>
  </si>
  <si>
    <t>NOMBRE</t>
  </si>
  <si>
    <t>DEPARTAMENTO</t>
  </si>
  <si>
    <t xml:space="preserve">UNIVERSIDAD NACIONAL DE COLOMBIA </t>
  </si>
  <si>
    <t>UNIVERSIDAD PEDAGÓGICA NACIONAL</t>
  </si>
  <si>
    <t>UNIVERISDAD PEDAGOGICA Y TECNOLÓGICA DE COLOMBIA</t>
  </si>
  <si>
    <t>UNIVERISDAD DEL CAUCA</t>
  </si>
  <si>
    <t>UNIVERSIDAD TECNOLÓGICA DE PEREIRA</t>
  </si>
  <si>
    <t>UNIVERSIDAD DE CALDAS</t>
  </si>
  <si>
    <t>UNIVERISDAD DE CÓRDOBA</t>
  </si>
  <si>
    <t xml:space="preserve">CORDOBA </t>
  </si>
  <si>
    <t xml:space="preserve">UNIVERISDAD SURCOLOMBIANA </t>
  </si>
  <si>
    <t>UNIVERSIDAD DE LA AMAZONÍA</t>
  </si>
  <si>
    <t xml:space="preserve">CAQUETA </t>
  </si>
  <si>
    <t>UNIVERISDAD MILITAR NUEVA GRANADA</t>
  </si>
  <si>
    <t>UNIVERSIDAD TECNOLÓGICA DEL CHOCÓ DIEGO LUIS CÓRDOBA</t>
  </si>
  <si>
    <t>UNIVERISDAD DE LOS LLANOS</t>
  </si>
  <si>
    <t>UNIVERISDAD POPULAR DEL CESAR</t>
  </si>
  <si>
    <t>UNIVERSIDAD COLEGIO MAYOR DE CUNDINAMARCA</t>
  </si>
  <si>
    <t>UNIVERISDAD DEL PACÍFICO</t>
  </si>
  <si>
    <t>UNIVERSIDAD DE ANTIOQUIA</t>
  </si>
  <si>
    <t>UNIVERSIDAD DEL ATLÁNTICO</t>
  </si>
  <si>
    <t>UNIVERSIDAD DEL VALLE</t>
  </si>
  <si>
    <t>UNIVERSIDAD INDUSTRIAL DE SANTANDER</t>
  </si>
  <si>
    <t>UNIVERSIDAD DE CARTAGENA</t>
  </si>
  <si>
    <t>UNIVERSIDAD DE NARIÑO</t>
  </si>
  <si>
    <t>NARIÑO</t>
  </si>
  <si>
    <t>UNIVERSIDAD DEL TOLIMA</t>
  </si>
  <si>
    <t>UNIVERSIDAD DEL QUINDIO</t>
  </si>
  <si>
    <t>UNIVERISDAD FRANCISCO DE PAULA SANTANDER - CÚCUTA</t>
  </si>
  <si>
    <t>UNIVERISDAD FRANCISCO DE PAULA SANTANDER - OCAÑA</t>
  </si>
  <si>
    <t>UNIVERISDAD DE PAMPLONA</t>
  </si>
  <si>
    <t>UNIVERISDAD DEL MAGDALENA</t>
  </si>
  <si>
    <t xml:space="preserve">UNIVERISDAD DE CUNDINAMARCA </t>
  </si>
  <si>
    <t xml:space="preserve">CUNDINAMARCA </t>
  </si>
  <si>
    <t>UNIVERSIDAD DE SUCRE</t>
  </si>
  <si>
    <t>UNIVERSIDAD DE LA GUAJIRA</t>
  </si>
  <si>
    <t>UNIVERSIDAD DISTRITAL FRANCISCO JOSÉ DE CALDAS</t>
  </si>
  <si>
    <t>UNIVERSIDAD NACIONAL ABIERTA Y A DISTANCIA</t>
  </si>
  <si>
    <t>PUTUMAYO</t>
  </si>
  <si>
    <t xml:space="preserve">SAN ANDRES Y PROVIDENCIA </t>
  </si>
  <si>
    <t>Inflación</t>
  </si>
  <si>
    <t>ARTICULO 86-CRECIMIENTO</t>
  </si>
  <si>
    <t>Resolucion 5018</t>
  </si>
  <si>
    <t>COLEGIO MIGUEL ANTONIO CARO - TRANSFERENCIA AL ICETEX</t>
  </si>
  <si>
    <t xml:space="preserve">La Ley 34 del 29 de diciembre de 1969 </t>
  </si>
  <si>
    <t>LEY 1697  DE  2013 ESTAMPILLA PROUNIVERSIDADES</t>
  </si>
  <si>
    <t xml:space="preserve">LEY 30 DE 1992- ARTICULO 87 </t>
  </si>
  <si>
    <t xml:space="preserve">ARTICULO 86 </t>
  </si>
  <si>
    <t>DESCRIPCION-tipo de recurso</t>
  </si>
  <si>
    <t>Inversión</t>
  </si>
  <si>
    <t>Total</t>
  </si>
  <si>
    <t>Año</t>
  </si>
  <si>
    <t>UNIV. FRANCISCO DE PAULA SANTANDER - CUCUTA</t>
  </si>
  <si>
    <t>UNIV. FRANCISCO DE PAULA SANTADER - OCANA</t>
  </si>
  <si>
    <t>Otras transferencias - Adición presupuestal</t>
  </si>
  <si>
    <t>Artículo 87 - Ley 30</t>
  </si>
  <si>
    <t>Artículo 86 - Ley 30 - Funcionamiento</t>
  </si>
  <si>
    <t>Devolución Descuentos por votación</t>
  </si>
  <si>
    <t>Recursos</t>
  </si>
  <si>
    <t>Concurrencia pensional</t>
  </si>
  <si>
    <t>Artículo 86 - Ley 30 - Inversión</t>
  </si>
  <si>
    <t>Otros recursos para inversion - 2% ICFES - Artículos 10 y 11 Ley 1324/09 (En 2010 incluye Ampliación de Cobertura - Convenios con ICETEX)</t>
  </si>
  <si>
    <t>-</t>
  </si>
  <si>
    <t>Estampilla</t>
  </si>
  <si>
    <t>APROPIACIÓN VIGENCIA 2018</t>
  </si>
  <si>
    <t>Adición presupuestal funcionamiento 2018</t>
  </si>
  <si>
    <t>Adición presupuestal inversión</t>
  </si>
  <si>
    <t>TOTAL 2018</t>
  </si>
  <si>
    <t xml:space="preserve">MINISTERIO DE EDUCACIÓN NACIONAL </t>
  </si>
  <si>
    <t>COD_IES</t>
  </si>
  <si>
    <t>UNIVERSIDAD NACIONAL DE COLOMBIA</t>
  </si>
  <si>
    <t>UNIVERSIDAD DEL CAUCA</t>
  </si>
  <si>
    <t>UNIVERSIDAD PEDAGOGICA NACIONAL</t>
  </si>
  <si>
    <t xml:space="preserve">UNIVERSIDAD PEDAGOGICA Y TECNOLOGICA DE COLOMBIA UPTC </t>
  </si>
  <si>
    <t>UNIVERSIDAD DE CORDOBA</t>
  </si>
  <si>
    <t>UNIVERSIDAD TECNOLOGICA DEL CHOCO</t>
  </si>
  <si>
    <t>UNIVERSIDAD DE LLANOS ORIENTALES</t>
  </si>
  <si>
    <t>UNIVERSIDAD TECNOLOGICA DE PEREIRA</t>
  </si>
  <si>
    <t>UNIVERSIDAD POPULAR DEL CESAR</t>
  </si>
  <si>
    <t>UNIVERSIDAD SURCOLOMBIANA DE NEIVA</t>
  </si>
  <si>
    <t>UNIVERSIDAD DE LA AMAZONIA</t>
  </si>
  <si>
    <t>UNIVERSIDAD DEL PACIFICO</t>
  </si>
  <si>
    <t>UNIVERSIDAD MILITAR NUEVA GRANADA</t>
  </si>
  <si>
    <t>UNIVERSIDAD DE PAMPLONA</t>
  </si>
  <si>
    <t>UNIVERSIDAD DEL ATLANTICO</t>
  </si>
  <si>
    <t>UNIVERSIDAD DISTRITAL "FRANSCISCO JOSE DE CALDAS"</t>
  </si>
  <si>
    <t>UNIVERSIDAD DEL MAGDALENA</t>
  </si>
  <si>
    <t>UNIVERSIDAD FRANCISCO DE PAULA SANTANDER - CUCUTA</t>
  </si>
  <si>
    <t>UNIVERSIDAD FRANCISCO DE PAULA SANTADER - OCAÑA</t>
  </si>
  <si>
    <t>UNIVERSIDAD DE CUNDINAMARCA</t>
  </si>
  <si>
    <t>Concurrencia Pensiones Ley 1371/09, Decreto 530/12</t>
  </si>
  <si>
    <t>ART. 87 Res.12032 del 27-07-2018</t>
  </si>
  <si>
    <t xml:space="preserve">ESTAMPILLA Decreto 1050 del 05-06-2014-Res.06096 del 09-04-2018
</t>
  </si>
  <si>
    <t>APROPIACIÓN VIGENCIA 2019</t>
  </si>
  <si>
    <t>Recursos adicionales pago de pasivos Art. 183 Ley 1955 de 2019 PND</t>
  </si>
  <si>
    <t>SUBDIRECCIÓN DE DESARROLLO SECTORIAL DE EDUCACIÓN SUPERIOR</t>
  </si>
  <si>
    <t>UNIVERSIDAD AUTONOMA INDIGENA INTERCULTURAL UAIIN</t>
  </si>
  <si>
    <t>APROPIACIÓN VIGENCIA 2020</t>
  </si>
  <si>
    <t>ART. 86 de Ley 30 de 1992 para Funcionamiento</t>
  </si>
  <si>
    <t>Concurrencia Pensional Leyes 1151/2007 y 1371/2009, Decreto 530/12</t>
  </si>
  <si>
    <t>ART. 87 Ley 30 de 1992 - Res. 10515 MEN de 04 de Octubre de 2020</t>
  </si>
  <si>
    <t>Devolución Descuento 10% Votación - Resolución 4183 de 24 de abril de 2019</t>
  </si>
  <si>
    <t>Recursos adicionales base presupuestal (3,5 p.p.) Acuerdos Mesa de Diálogo - Res. 4294 MEN de 29 de Abril de 2019 y Res. 925 MHCP de 27 de Marzo de 2019</t>
  </si>
  <si>
    <t>Excedentes Cooperativas Art. 142 Ley 1819 de 2016 - Res. 10515 MEN de 04 de Octubre de 2019 y Res. 10684 MEN de 09 de octubre de 2019</t>
  </si>
  <si>
    <t>ART.86 Ley 30 de 1992 para inversión</t>
  </si>
  <si>
    <t xml:space="preserve">ESTAMPILLA Ley 1697 de 2013 - Res. 2993 MEN de 26 de Marzo de 2019
</t>
  </si>
  <si>
    <t>Recursos adicionales inversión PFC Art. 183 Ley 1955 de 2019 PND - Res. 9663 de 09 de septiembre de 2019 y Res. 10685 MEN de 09 de octubre de 2019</t>
  </si>
  <si>
    <t>Recursos adicionales pago de pasivos Art. 183 Ley 1955 de 2019 PND - Res. 10674 MEN de 08 de Octubre de 2019</t>
  </si>
  <si>
    <t>Recursos adicionales para pago de pasivos que fueron direccionados a PFC - Res. 12077 MEN de 15 de Noviembre de 2019 y Res. 11510 MEN de 29 de octubre de 2019</t>
  </si>
  <si>
    <t>TOTAL 2019</t>
  </si>
  <si>
    <t>ART. 86 de Ley 30 de 1992 para Funcionamiento - Res. 00001 MEN de 02 de Enero de 2020 - Res. 696 MEN de 08 de Enero de 2020 y diferencial de IPC Res. 18187 de 02 de octubre de 2020</t>
  </si>
  <si>
    <t>ART.86 de Ley 30 Funcionamiento - Indexación 3,5 p.p. de 2019 - Res. 00001 MEN de 02 de Enero de 2020 - Res. 696 MEN de 08 de Enero de 2020 y diferencial de IPC Res. 18187 de 02 de octubre de 2020</t>
  </si>
  <si>
    <t>Concurrencia Pensional Leyes 1151/2007 y 1371/2009, Decreto 530/12 - Res. 696 MEN de 08 de enero de 2020 - Res. 8093 MEN de 22 de Mayo de 2020 - Res. 13924 MEN de 30 de Julio de 2020</t>
  </si>
  <si>
    <t>ART. 87 Ley 30 de 1992 - Res. 10398 de 24 de junio de 2020</t>
  </si>
  <si>
    <t>Devolución Descuento 10% Votación - Res. 5072 de 03 de abril de 2020</t>
  </si>
  <si>
    <t>Recursos adicionales base presupuestal (4,0 p.p.) Art. 183 Ley 1955 de 2019 - Res. 8093 MEN de 22 de mayo de 2020 - Res. 5072 MEN de 03 de abril de 2020</t>
  </si>
  <si>
    <t>Excedentes Cooperativas Art. 142 Ley 1819 de 2016 - Res. 8093 MEN de 22 de mayo de 2020 - Res. 8783 MEN de 09 de junio de 2020</t>
  </si>
  <si>
    <t>ART.86 Ley 30 de 1992 para inversión - Res. 2138 MEN de 10 de Febrero de 2020</t>
  </si>
  <si>
    <t xml:space="preserve">ESTAMPILLA Ley 1697 de 2013  - Res. 5072 de 03 de abril de 2020 y Res. 19285 de 13 de octubre de 2020
</t>
  </si>
  <si>
    <t>Recursos adicionales inversión PFC Art. 183 Ley 1955 de 2019 PND</t>
  </si>
  <si>
    <t>Recursos adicionales para pago de pasivos que fueron direccionados a PFC</t>
  </si>
  <si>
    <t>TOTAL 2020</t>
  </si>
  <si>
    <t>APROPIACIÓN VIGENCIA 2021</t>
  </si>
  <si>
    <t>ART. 86 de Ley 30 de 1992 para Funcionamiento - Res 0765 de 13 de enero y 1650 de 02 de febrero</t>
  </si>
  <si>
    <t>ART.86 de Ley 30 Funcionamiento - Indexación 3,5 p.p. de 2019</t>
  </si>
  <si>
    <t>ART.86 de Ley 30 Funcionamiento - Indexación 4,0 p.p. de 2020</t>
  </si>
  <si>
    <t>Concurrencia Pensional Leyes 1151/2007 y 1371/2009, Decreto 530/12 - Res 0765 de 13 de enero</t>
  </si>
  <si>
    <t>Recursos adicionales base presupuestal (4,5 p.p.) Art. 183 Ley 1955 de 2019 - Res. 4744 de 19 de marzo</t>
  </si>
  <si>
    <t>Excedentes Cooperativas Art. 142 Ley 1819 de 2016 - Res. 4744 de 19 de marzo</t>
  </si>
  <si>
    <t>ART.86 Ley 30 de 1992 para inversión - Res. 0765 de 13 de enero</t>
  </si>
  <si>
    <t>TOTAL 2021</t>
  </si>
  <si>
    <t xml:space="preserve">SUBDIRECCIÓN DE DESARROLLO SECTORIAL DE EDUCACIÓN SUPERIOR </t>
  </si>
  <si>
    <t>TRANSFERENCIA FUNCIONAMIENTO NACIÓN</t>
  </si>
  <si>
    <t>Recursos Apoyo Funcionamiento ITTU no PGN - Art. 183 Ley 1955 de 2019 - Res. 10515 MEN de 04 de Octubre de 2019</t>
  </si>
  <si>
    <t>TRANSFERENCIA INVERSIÓN NACIÓN</t>
  </si>
  <si>
    <t>TRANSFERENCIA FUNCIONAMIENTO NACIÓN Res. 00001 MEN de 02 de Enero de 2020 - Res. 696 MEN de 08 de Enero de 2020 y diferencial de IPC Res. 18187 de 02 de octubre de 2020 y 19337 de 15 de octubre de 2020</t>
  </si>
  <si>
    <t>TRANSFERENCIAS NACIÓN FUNCIONAMIENTO - Indexación 3,5 p.p. de 2019 - Res. 00001 MEN de 02 de Enero de 2020 - Res. 696 MEN de 08 de Enero de 2020 y diferencial de IPC Res. 18187 de 02 de octubre de 2020 y 19337 de 15 de octubre de 2020</t>
  </si>
  <si>
    <t>Recursos Apoyo Funcionamiento ITTU no PGN - Art. 183 Ley 1955 de 2019 - Res. 5072 MEN de 03 de abril de 2020</t>
  </si>
  <si>
    <t xml:space="preserve">Recursos adicionales pago de pasivos Art. 183 Ley 1955 de 2019 PND </t>
  </si>
  <si>
    <t>TRANSFERENCIA FUNCIONAMIENTO NACIÓN Res 0765 de 13 de enero y 1650 de 02 de febrero</t>
  </si>
  <si>
    <t xml:space="preserve">TRANSFERENCIAS NACIÓN FUNCIONAMIENTO - Indexación 3,5 p.p. de 2019 </t>
  </si>
  <si>
    <t>TRANSFERENCIAS NACIÓN FUNCIONAMIENTO - Indexación 4,0 p.p. de 2020</t>
  </si>
  <si>
    <t>Recursos Apoyo Funcionamiento ITTU no PGN - Art. 183 Ley 1955 de 2019 - Res. 4744 de 19 de marzo</t>
  </si>
  <si>
    <t>INSTITUCIÓN UNIVERSITARIA DIGITAL DE COLOMBIA</t>
  </si>
  <si>
    <t>Apoyo Descuento por votaciones</t>
  </si>
  <si>
    <t xml:space="preserve">ESTAMPILLA Ley 1697 de 2013  - Res. 4744 de 19 de marzo y Res. 015531 del 19 de agosto 
</t>
  </si>
  <si>
    <t>APORTES DE LA NACION IES PUBLICAS EN CUMPLIMIENTO DE LA NORMATIVIDAD VIGENTE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</si>
</sst>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"/>
    <numFmt numFmtId="165" formatCode="General_)"/>
    <numFmt numFmtId="166" formatCode="0.0%"/>
    <numFmt numFmtId="167" formatCode="#,##0.00000"/>
    <numFmt numFmtId="168" formatCode="#,##0.000000"/>
    <numFmt numFmtId="169" formatCode="#,##0.0000"/>
    <numFmt numFmtId="170" formatCode="#,##0.0000000"/>
    <numFmt numFmtId="171" formatCode="#,##0.000000000000"/>
  </numFmts>
  <fonts count="3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</font>
    <font>
      <b/>
      <sz val="8"/>
      <name val="Calibri"/>
      <family val="2"/>
    </font>
    <font>
      <b/>
      <sz val="11"/>
      <color indexed="8"/>
      <name val="Calibri"/>
      <family val="2"/>
    </font>
    <font>
      <sz val="11"/>
      <name val="Arial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rgb="FFFFFFFF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name val="Calibri"/>
      <family val="2"/>
      <scheme val="minor"/>
    </font>
    <font>
      <b/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2" fillId="0" borderId="0"/>
    <xf numFmtId="0" fontId="17" fillId="0" borderId="0"/>
    <xf numFmtId="0" fontId="2" fillId="0" borderId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" fillId="0" borderId="0"/>
    <xf numFmtId="44" fontId="17" fillId="0" borderId="0" applyFont="0" applyFill="0" applyBorder="0" applyAlignment="0" applyProtection="0"/>
  </cellStyleXfs>
  <cellXfs count="170">
    <xf numFmtId="0" fontId="0" fillId="0" borderId="0" xfId="0"/>
    <xf numFmtId="0" fontId="4" fillId="0" borderId="0" xfId="0" applyFont="1" applyAlignment="1">
      <alignment horizontal="centerContinuous"/>
    </xf>
    <xf numFmtId="0" fontId="5" fillId="0" borderId="0" xfId="0" applyFont="1"/>
    <xf numFmtId="0" fontId="4" fillId="0" borderId="0" xfId="0" applyFont="1" applyAlignment="1">
      <alignment horizontal="left"/>
    </xf>
    <xf numFmtId="0" fontId="9" fillId="0" borderId="0" xfId="0" applyFont="1"/>
    <xf numFmtId="0" fontId="5" fillId="0" borderId="1" xfId="0" applyFont="1" applyBorder="1"/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6" fillId="0" borderId="1" xfId="0" applyFont="1" applyFill="1" applyBorder="1" applyAlignment="1">
      <alignment vertical="center" wrapText="1" shrinkToFit="1"/>
    </xf>
    <xf numFmtId="0" fontId="5" fillId="0" borderId="0" xfId="0" applyFont="1" applyFill="1"/>
    <xf numFmtId="165" fontId="6" fillId="0" borderId="1" xfId="0" applyNumberFormat="1" applyFont="1" applyBorder="1" applyAlignment="1" applyProtection="1">
      <alignment horizontal="left" vertical="center" wrapText="1" shrinkToFit="1"/>
    </xf>
    <xf numFmtId="165" fontId="6" fillId="0" borderId="1" xfId="0" applyNumberFormat="1" applyFont="1" applyFill="1" applyBorder="1" applyAlignment="1" applyProtection="1">
      <alignment horizontal="left" vertical="center" wrapText="1" shrinkToFit="1"/>
    </xf>
    <xf numFmtId="0" fontId="6" fillId="0" borderId="0" xfId="0" applyFont="1"/>
    <xf numFmtId="3" fontId="7" fillId="4" borderId="1" xfId="0" applyNumberFormat="1" applyFont="1" applyFill="1" applyBorder="1" applyAlignment="1">
      <alignment horizontal="center" vertical="center" wrapText="1" shrinkToFit="1"/>
    </xf>
    <xf numFmtId="3" fontId="12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3" fontId="7" fillId="4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left" vertical="center" wrapText="1" readingOrder="1"/>
    </xf>
    <xf numFmtId="0" fontId="16" fillId="0" borderId="1" xfId="0" applyFont="1" applyBorder="1" applyAlignment="1">
      <alignment horizontal="left" vertical="center" wrapText="1" readingOrder="1"/>
    </xf>
    <xf numFmtId="165" fontId="6" fillId="6" borderId="1" xfId="0" applyNumberFormat="1" applyFont="1" applyFill="1" applyBorder="1" applyAlignment="1" applyProtection="1">
      <alignment horizontal="left" vertical="center" wrapText="1" shrinkToFit="1"/>
    </xf>
    <xf numFmtId="3" fontId="12" fillId="6" borderId="1" xfId="0" applyNumberFormat="1" applyFont="1" applyFill="1" applyBorder="1" applyAlignment="1">
      <alignment horizontal="center"/>
    </xf>
    <xf numFmtId="0" fontId="5" fillId="6" borderId="0" xfId="0" applyFont="1" applyFill="1"/>
    <xf numFmtId="3" fontId="0" fillId="0" borderId="0" xfId="0" applyNumberFormat="1"/>
    <xf numFmtId="0" fontId="5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6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8" fillId="10" borderId="5" xfId="0" applyNumberFormat="1" applyFont="1" applyFill="1" applyBorder="1" applyAlignment="1">
      <alignment horizontal="center" vertical="center" wrapText="1"/>
    </xf>
    <xf numFmtId="0" fontId="14" fillId="5" borderId="5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3" fontId="20" fillId="9" borderId="5" xfId="0" applyNumberFormat="1" applyFont="1" applyFill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3" fontId="14" fillId="5" borderId="5" xfId="0" applyNumberFormat="1" applyFont="1" applyFill="1" applyBorder="1" applyAlignment="1">
      <alignment horizontal="center" vertical="center" wrapText="1"/>
    </xf>
    <xf numFmtId="0" fontId="19" fillId="8" borderId="5" xfId="0" applyFont="1" applyFill="1" applyBorder="1" applyAlignment="1">
      <alignment vertical="center" wrapText="1"/>
    </xf>
    <xf numFmtId="0" fontId="18" fillId="10" borderId="5" xfId="0" applyFont="1" applyFill="1" applyBorder="1" applyAlignment="1">
      <alignment vertical="center" wrapText="1"/>
    </xf>
    <xf numFmtId="3" fontId="18" fillId="10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22" fillId="6" borderId="1" xfId="0" applyFont="1" applyFill="1" applyBorder="1" applyAlignment="1">
      <alignment horizontal="center"/>
    </xf>
    <xf numFmtId="0" fontId="21" fillId="6" borderId="1" xfId="0" applyFont="1" applyFill="1" applyBorder="1" applyAlignment="1">
      <alignment horizontal="center"/>
    </xf>
    <xf numFmtId="3" fontId="9" fillId="6" borderId="1" xfId="0" applyNumberFormat="1" applyFont="1" applyFill="1" applyBorder="1" applyAlignment="1">
      <alignment horizontal="center"/>
    </xf>
    <xf numFmtId="3" fontId="23" fillId="6" borderId="1" xfId="0" applyNumberFormat="1" applyFont="1" applyFill="1" applyBorder="1" applyAlignment="1">
      <alignment horizontal="center"/>
    </xf>
    <xf numFmtId="0" fontId="0" fillId="0" borderId="1" xfId="0" applyBorder="1"/>
    <xf numFmtId="0" fontId="24" fillId="4" borderId="1" xfId="0" applyFont="1" applyFill="1" applyBorder="1" applyAlignment="1">
      <alignment horizontal="center" vertical="center" wrapText="1" shrinkToFit="1"/>
    </xf>
    <xf numFmtId="3" fontId="25" fillId="0" borderId="6" xfId="0" applyNumberFormat="1" applyFont="1" applyBorder="1"/>
    <xf numFmtId="0" fontId="24" fillId="9" borderId="1" xfId="0" applyFont="1" applyFill="1" applyBorder="1" applyAlignment="1">
      <alignment horizontal="center" vertical="center" wrapText="1" shrinkToFit="1"/>
    </xf>
    <xf numFmtId="0" fontId="25" fillId="0" borderId="0" xfId="0" applyFont="1"/>
    <xf numFmtId="0" fontId="25" fillId="0" borderId="1" xfId="0" applyFont="1" applyBorder="1" applyAlignment="1">
      <alignment vertical="center" wrapText="1" shrinkToFit="1"/>
    </xf>
    <xf numFmtId="3" fontId="25" fillId="0" borderId="1" xfId="0" applyNumberFormat="1" applyFont="1" applyBorder="1"/>
    <xf numFmtId="3" fontId="25" fillId="9" borderId="1" xfId="0" applyNumberFormat="1" applyFont="1" applyFill="1" applyBorder="1"/>
    <xf numFmtId="0" fontId="25" fillId="0" borderId="1" xfId="0" applyFont="1" applyFill="1" applyBorder="1" applyAlignment="1">
      <alignment vertical="center" wrapText="1" shrinkToFit="1"/>
    </xf>
    <xf numFmtId="165" fontId="25" fillId="0" borderId="1" xfId="0" applyNumberFormat="1" applyFont="1" applyBorder="1" applyAlignment="1" applyProtection="1">
      <alignment horizontal="left" vertical="center" wrapText="1" shrinkToFit="1"/>
    </xf>
    <xf numFmtId="165" fontId="25" fillId="6" borderId="1" xfId="0" applyNumberFormat="1" applyFont="1" applyFill="1" applyBorder="1" applyAlignment="1" applyProtection="1">
      <alignment horizontal="left" vertical="center" wrapText="1" shrinkToFit="1"/>
    </xf>
    <xf numFmtId="165" fontId="25" fillId="0" borderId="1" xfId="0" applyNumberFormat="1" applyFont="1" applyFill="1" applyBorder="1" applyAlignment="1" applyProtection="1">
      <alignment horizontal="left" vertical="center" wrapText="1" shrinkToFit="1"/>
    </xf>
    <xf numFmtId="0" fontId="24" fillId="0" borderId="1" xfId="0" applyFont="1" applyBorder="1"/>
    <xf numFmtId="3" fontId="24" fillId="0" borderId="1" xfId="0" applyNumberFormat="1" applyFont="1" applyBorder="1"/>
    <xf numFmtId="3" fontId="24" fillId="0" borderId="6" xfId="0" applyNumberFormat="1" applyFont="1" applyBorder="1"/>
    <xf numFmtId="3" fontId="24" fillId="9" borderId="1" xfId="0" applyNumberFormat="1" applyFont="1" applyFill="1" applyBorder="1"/>
    <xf numFmtId="3" fontId="25" fillId="0" borderId="0" xfId="0" applyNumberFormat="1" applyFont="1"/>
    <xf numFmtId="3" fontId="25" fillId="0" borderId="0" xfId="0" applyNumberFormat="1" applyFont="1" applyAlignment="1">
      <alignment horizontal="center"/>
    </xf>
    <xf numFmtId="0" fontId="11" fillId="6" borderId="1" xfId="0" applyFont="1" applyFill="1" applyBorder="1" applyAlignment="1">
      <alignment horizontal="center" vertical="center" wrapText="1" shrinkToFit="1"/>
    </xf>
    <xf numFmtId="0" fontId="7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5" fillId="6" borderId="1" xfId="0" applyFont="1" applyFill="1" applyBorder="1"/>
    <xf numFmtId="3" fontId="7" fillId="6" borderId="1" xfId="0" applyNumberFormat="1" applyFont="1" applyFill="1" applyBorder="1" applyAlignment="1">
      <alignment horizontal="center"/>
    </xf>
    <xf numFmtId="3" fontId="13" fillId="6" borderId="1" xfId="0" applyNumberFormat="1" applyFont="1" applyFill="1" applyBorder="1" applyAlignment="1">
      <alignment horizontal="center"/>
    </xf>
    <xf numFmtId="3" fontId="26" fillId="11" borderId="0" xfId="0" applyNumberFormat="1" applyFont="1" applyFill="1" applyAlignment="1">
      <alignment horizontal="center"/>
    </xf>
    <xf numFmtId="0" fontId="27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27" fillId="0" borderId="1" xfId="0" applyFont="1" applyBorder="1" applyAlignment="1">
      <alignment wrapText="1"/>
    </xf>
    <xf numFmtId="0" fontId="0" fillId="7" borderId="1" xfId="0" applyFill="1" applyBorder="1"/>
    <xf numFmtId="0" fontId="0" fillId="7" borderId="1" xfId="0" applyFill="1" applyBorder="1" applyAlignment="1">
      <alignment wrapText="1"/>
    </xf>
    <xf numFmtId="10" fontId="0" fillId="0" borderId="0" xfId="0" applyNumberFormat="1"/>
    <xf numFmtId="10" fontId="28" fillId="8" borderId="1" xfId="0" applyNumberFormat="1" applyFont="1" applyFill="1" applyBorder="1" applyAlignment="1">
      <alignment horizontal="right" wrapText="1"/>
    </xf>
    <xf numFmtId="10" fontId="29" fillId="12" borderId="0" xfId="0" applyNumberFormat="1" applyFont="1" applyFill="1"/>
    <xf numFmtId="0" fontId="7" fillId="6" borderId="1" xfId="0" applyFont="1" applyFill="1" applyBorder="1" applyAlignment="1">
      <alignment horizontal="center" vertical="center" wrapText="1"/>
    </xf>
    <xf numFmtId="0" fontId="17" fillId="0" borderId="0" xfId="3"/>
    <xf numFmtId="0" fontId="14" fillId="5" borderId="1" xfId="3" applyFont="1" applyFill="1" applyBorder="1" applyAlignment="1">
      <alignment horizontal="center" vertical="center" wrapText="1" readingOrder="1"/>
    </xf>
    <xf numFmtId="0" fontId="15" fillId="0" borderId="1" xfId="3" applyFont="1" applyBorder="1" applyAlignment="1">
      <alignment horizontal="left" vertical="center" wrapText="1" readingOrder="1"/>
    </xf>
    <xf numFmtId="0" fontId="16" fillId="0" borderId="1" xfId="3" applyFont="1" applyBorder="1" applyAlignment="1">
      <alignment horizontal="left" vertical="center" wrapText="1" readingOrder="1"/>
    </xf>
    <xf numFmtId="0" fontId="15" fillId="6" borderId="1" xfId="3" applyFont="1" applyFill="1" applyBorder="1" applyAlignment="1">
      <alignment horizontal="left" vertical="center" wrapText="1" readingOrder="1"/>
    </xf>
    <xf numFmtId="0" fontId="16" fillId="6" borderId="1" xfId="3" applyFont="1" applyFill="1" applyBorder="1" applyAlignment="1">
      <alignment horizontal="left" vertical="center" wrapText="1" readingOrder="1"/>
    </xf>
    <xf numFmtId="166" fontId="0" fillId="0" borderId="0" xfId="5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3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5" fontId="6" fillId="0" borderId="1" xfId="0" applyNumberFormat="1" applyFont="1" applyBorder="1" applyAlignment="1" applyProtection="1">
      <alignment horizontal="center" vertical="center" wrapText="1" shrinkToFit="1"/>
    </xf>
    <xf numFmtId="0" fontId="0" fillId="0" borderId="0" xfId="0" applyAlignment="1">
      <alignment horizontal="center"/>
    </xf>
    <xf numFmtId="0" fontId="31" fillId="0" borderId="1" xfId="0" applyFont="1" applyBorder="1" applyAlignment="1">
      <alignment horizontal="center"/>
    </xf>
    <xf numFmtId="9" fontId="5" fillId="0" borderId="0" xfId="5" applyFont="1" applyAlignment="1">
      <alignment horizontal="center"/>
    </xf>
    <xf numFmtId="0" fontId="0" fillId="0" borderId="1" xfId="0" applyFill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0" fontId="11" fillId="13" borderId="1" xfId="0" applyFont="1" applyFill="1" applyBorder="1" applyAlignment="1">
      <alignment horizontal="center" vertical="center" wrapText="1" shrinkToFit="1"/>
    </xf>
    <xf numFmtId="3" fontId="7" fillId="13" borderId="1" xfId="0" applyNumberFormat="1" applyFont="1" applyFill="1" applyBorder="1" applyAlignment="1">
      <alignment horizontal="center"/>
    </xf>
    <xf numFmtId="3" fontId="7" fillId="13" borderId="1" xfId="0" applyNumberFormat="1" applyFont="1" applyFill="1" applyBorder="1" applyAlignment="1">
      <alignment horizontal="center" vertical="center" wrapText="1" shrinkToFit="1"/>
    </xf>
    <xf numFmtId="0" fontId="6" fillId="6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horizontal="left" vertical="center" wrapText="1" shrinkToFit="1"/>
    </xf>
    <xf numFmtId="0" fontId="6" fillId="0" borderId="1" xfId="0" applyFont="1" applyFill="1" applyBorder="1" applyAlignment="1">
      <alignment horizontal="left" vertical="center" wrapText="1" shrinkToFit="1"/>
    </xf>
    <xf numFmtId="0" fontId="32" fillId="2" borderId="1" xfId="0" applyFont="1" applyFill="1" applyBorder="1" applyAlignment="1">
      <alignment horizontal="center" vertical="center" wrapText="1"/>
    </xf>
    <xf numFmtId="0" fontId="21" fillId="0" borderId="0" xfId="0" applyFont="1"/>
    <xf numFmtId="0" fontId="4" fillId="0" borderId="0" xfId="0" applyFont="1"/>
    <xf numFmtId="3" fontId="7" fillId="0" borderId="0" xfId="0" applyNumberFormat="1" applyFont="1" applyBorder="1"/>
    <xf numFmtId="3" fontId="5" fillId="0" borderId="1" xfId="0" applyNumberFormat="1" applyFont="1" applyBorder="1"/>
    <xf numFmtId="3" fontId="4" fillId="13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3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2" fillId="9" borderId="1" xfId="0" applyFont="1" applyFill="1" applyBorder="1" applyAlignment="1">
      <alignment horizontal="center" vertical="center" wrapText="1"/>
    </xf>
    <xf numFmtId="3" fontId="5" fillId="0" borderId="2" xfId="0" applyNumberFormat="1" applyFont="1" applyBorder="1"/>
    <xf numFmtId="0" fontId="32" fillId="14" borderId="1" xfId="0" applyFont="1" applyFill="1" applyBorder="1" applyAlignment="1">
      <alignment horizontal="center" vertical="center" wrapText="1"/>
    </xf>
    <xf numFmtId="44" fontId="5" fillId="0" borderId="0" xfId="8" applyFont="1"/>
    <xf numFmtId="3" fontId="5" fillId="0" borderId="0" xfId="0" applyNumberFormat="1" applyFont="1"/>
    <xf numFmtId="3" fontId="4" fillId="0" borderId="0" xfId="0" applyNumberFormat="1" applyFont="1"/>
    <xf numFmtId="169" fontId="5" fillId="0" borderId="0" xfId="0" applyNumberFormat="1" applyFont="1"/>
    <xf numFmtId="170" fontId="5" fillId="0" borderId="0" xfId="0" applyNumberFormat="1" applyFont="1"/>
    <xf numFmtId="171" fontId="5" fillId="0" borderId="0" xfId="0" applyNumberFormat="1" applyFont="1"/>
    <xf numFmtId="165" fontId="6" fillId="0" borderId="1" xfId="0" applyNumberFormat="1" applyFont="1" applyBorder="1" applyAlignment="1">
      <alignment horizontal="left" vertical="center" wrapText="1" shrinkToFit="1"/>
    </xf>
    <xf numFmtId="3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65" fontId="6" fillId="6" borderId="1" xfId="0" applyNumberFormat="1" applyFont="1" applyFill="1" applyBorder="1" applyAlignment="1">
      <alignment horizontal="left" vertical="center" wrapText="1" shrinkToFit="1"/>
    </xf>
    <xf numFmtId="3" fontId="11" fillId="4" borderId="1" xfId="0" applyNumberFormat="1" applyFont="1" applyFill="1" applyBorder="1" applyAlignment="1">
      <alignment horizontal="center" vertical="center" wrapText="1" shrinkToFit="1"/>
    </xf>
    <xf numFmtId="0" fontId="33" fillId="2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 shrinkToFit="1"/>
    </xf>
    <xf numFmtId="168" fontId="5" fillId="0" borderId="0" xfId="0" applyNumberFormat="1" applyFont="1"/>
    <xf numFmtId="0" fontId="32" fillId="14" borderId="1" xfId="0" applyFont="1" applyFill="1" applyBorder="1" applyAlignment="1">
      <alignment horizontal="center" wrapText="1"/>
    </xf>
    <xf numFmtId="0" fontId="32" fillId="14" borderId="1" xfId="0" applyFont="1" applyFill="1" applyBorder="1" applyAlignment="1">
      <alignment horizontal="center"/>
    </xf>
    <xf numFmtId="0" fontId="32" fillId="2" borderId="1" xfId="0" applyFont="1" applyFill="1" applyBorder="1" applyAlignment="1">
      <alignment horizontal="center" wrapText="1"/>
    </xf>
    <xf numFmtId="0" fontId="32" fillId="2" borderId="1" xfId="0" applyFont="1" applyFill="1" applyBorder="1" applyAlignment="1">
      <alignment horizontal="center"/>
    </xf>
    <xf numFmtId="0" fontId="32" fillId="2" borderId="1" xfId="0" applyFont="1" applyFill="1" applyBorder="1" applyAlignment="1">
      <alignment horizontal="center" vertical="center" wrapText="1"/>
    </xf>
    <xf numFmtId="0" fontId="32" fillId="9" borderId="1" xfId="0" applyFont="1" applyFill="1" applyBorder="1" applyAlignment="1">
      <alignment horizontal="center" wrapText="1"/>
    </xf>
    <xf numFmtId="0" fontId="32" fillId="9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16" fillId="6" borderId="2" xfId="3" applyFont="1" applyFill="1" applyBorder="1" applyAlignment="1">
      <alignment horizontal="left" vertical="center" wrapText="1" readingOrder="1"/>
    </xf>
    <xf numFmtId="0" fontId="16" fillId="6" borderId="4" xfId="3" applyFont="1" applyFill="1" applyBorder="1" applyAlignment="1">
      <alignment horizontal="left" vertical="center" wrapText="1" readingOrder="1"/>
    </xf>
    <xf numFmtId="0" fontId="14" fillId="5" borderId="2" xfId="3" applyFont="1" applyFill="1" applyBorder="1" applyAlignment="1">
      <alignment horizontal="center" vertical="center" wrapText="1" readingOrder="1"/>
    </xf>
    <xf numFmtId="0" fontId="14" fillId="5" borderId="3" xfId="3" applyFont="1" applyFill="1" applyBorder="1" applyAlignment="1">
      <alignment horizontal="center" vertical="center" wrapText="1" readingOrder="1"/>
    </xf>
    <xf numFmtId="0" fontId="14" fillId="5" borderId="4" xfId="3" applyFont="1" applyFill="1" applyBorder="1" applyAlignment="1">
      <alignment horizontal="center" vertical="center" wrapText="1" readingOrder="1"/>
    </xf>
  </cellXfs>
  <cellStyles count="9">
    <cellStyle name="Millares 2 29" xfId="6" xr:uid="{00000000-0005-0000-0000-000000000000}"/>
    <cellStyle name="Moneda" xfId="8" builtinId="4"/>
    <cellStyle name="Normal" xfId="0" builtinId="0"/>
    <cellStyle name="Normal 2" xfId="1" xr:uid="{00000000-0005-0000-0000-000002000000}"/>
    <cellStyle name="Normal 2 2" xfId="4" xr:uid="{00000000-0005-0000-0000-000003000000}"/>
    <cellStyle name="Normal 3" xfId="3" xr:uid="{00000000-0005-0000-0000-000004000000}"/>
    <cellStyle name="Normal 4" xfId="2" xr:uid="{00000000-0005-0000-0000-000005000000}"/>
    <cellStyle name="Normal 5" xfId="7" xr:uid="{00000000-0005-0000-0000-000006000000}"/>
    <cellStyle name="Porcentaje" xfId="5" builtinId="5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8030739673390971E-2"/>
                  <c:y val="-4.49690757934297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DC-4F0A-8271-843A62A1A659}"/>
                </c:ext>
              </c:extLst>
            </c:dLbl>
            <c:dLbl>
              <c:idx val="1"/>
              <c:layout>
                <c:manualLayout>
                  <c:x val="-5.3794428434197884E-2"/>
                  <c:y val="5.39628909521157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DC-4F0A-8271-843A62A1A659}"/>
                </c:ext>
              </c:extLst>
            </c:dLbl>
            <c:dLbl>
              <c:idx val="2"/>
              <c:layout>
                <c:manualLayout>
                  <c:x val="-4.8030739673390971E-2"/>
                  <c:y val="-4.94659833727727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DC-4F0A-8271-843A62A1A659}"/>
                </c:ext>
              </c:extLst>
            </c:dLbl>
            <c:dLbl>
              <c:idx val="3"/>
              <c:layout>
                <c:manualLayout>
                  <c:x val="-4.2267050912584127E-2"/>
                  <c:y val="5.39628909521157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DC-4F0A-8271-843A62A1A659}"/>
                </c:ext>
              </c:extLst>
            </c:dLbl>
            <c:dLbl>
              <c:idx val="4"/>
              <c:layout>
                <c:manualLayout>
                  <c:x val="-4.6109510086455328E-2"/>
                  <c:y val="-5.8459798531458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DC-4F0A-8271-843A62A1A659}"/>
                </c:ext>
              </c:extLst>
            </c:dLbl>
            <c:dLbl>
              <c:idx val="5"/>
              <c:layout>
                <c:manualLayout>
                  <c:x val="-4.6109510086455328E-2"/>
                  <c:y val="5.39628909521157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DC-4F0A-8271-843A62A1A659}"/>
                </c:ext>
              </c:extLst>
            </c:dLbl>
            <c:dLbl>
              <c:idx val="6"/>
              <c:layout>
                <c:manualLayout>
                  <c:x val="-5.3794428434197884E-2"/>
                  <c:y val="-5.39628909521157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DC-4F0A-8271-843A62A1A659}"/>
                </c:ext>
              </c:extLst>
            </c:dLbl>
            <c:dLbl>
              <c:idx val="7"/>
              <c:layout>
                <c:manualLayout>
                  <c:x val="-4.2267050912584127E-2"/>
                  <c:y val="5.8459798531458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DC-4F0A-8271-843A62A1A659}"/>
                </c:ext>
              </c:extLst>
            </c:dLbl>
            <c:dLbl>
              <c:idx val="8"/>
              <c:layout>
                <c:manualLayout>
                  <c:x val="-4.9951969260326606E-2"/>
                  <c:y val="-5.3962890952115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DC-4F0A-8271-843A62A1A659}"/>
                </c:ext>
              </c:extLst>
            </c:dLbl>
            <c:dLbl>
              <c:idx val="9"/>
              <c:layout>
                <c:manualLayout>
                  <c:x val="-4.2267050912584196E-2"/>
                  <c:y val="4.94659833727727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DC-4F0A-8271-843A62A1A659}"/>
                </c:ext>
              </c:extLst>
            </c:dLbl>
            <c:dLbl>
              <c:idx val="10"/>
              <c:layout>
                <c:manualLayout>
                  <c:x val="-5.1873198847262249E-2"/>
                  <c:y val="-5.8459798531458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8DC-4F0A-8271-843A62A1A6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Graficas!$A$5:$A$16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Graficas!$B$5:$B$16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8DC-4F0A-8271-843A62A1A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743656"/>
        <c:axId val="193744048"/>
      </c:lineChart>
      <c:catAx>
        <c:axId val="19374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744048"/>
        <c:crosses val="autoZero"/>
        <c:auto val="1"/>
        <c:lblAlgn val="ctr"/>
        <c:lblOffset val="100"/>
        <c:noMultiLvlLbl val="0"/>
      </c:catAx>
      <c:valAx>
        <c:axId val="19374404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74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4</xdr:row>
      <xdr:rowOff>119061</xdr:rowOff>
    </xdr:from>
    <xdr:to>
      <xdr:col>14</xdr:col>
      <xdr:colOff>57150</xdr:colOff>
      <xdr:row>22</xdr:row>
      <xdr:rowOff>28574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WILFER%20SUPERIOR\MODELO%20DISTRIBUCI&#211;N%20DE%20RECURSOS\DISCO%20MILENA\Financiero\IPC\Total%20recursos%20adeudados%20IP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Aprobado MHCP"/>
      <sheetName val="MCCP 6300"/>
      <sheetName val="DIFERENCIA"/>
      <sheetName val="CALCULO MHCP"/>
      <sheetName val="MHCP 24.000"/>
    </sheetNames>
    <sheetDataSet>
      <sheetData sheetId="0">
        <row r="38">
          <cell r="H38">
            <v>2140291349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64"/>
  <sheetViews>
    <sheetView showGridLines="0" showZeros="0" tabSelected="1" zoomScale="90" zoomScaleNormal="90" workbookViewId="0">
      <pane xSplit="3" ySplit="8" topLeftCell="D40" activePane="bottomRight" state="frozen"/>
      <selection pane="topRight" activeCell="D1" sqref="D1"/>
      <selection pane="bottomLeft" activeCell="A9" sqref="A9"/>
      <selection pane="bottomRight" activeCell="C43" sqref="C43"/>
    </sheetView>
  </sheetViews>
  <sheetFormatPr baseColWidth="10" defaultColWidth="10.42578125" defaultRowHeight="11.25" x14ac:dyDescent="0.2"/>
  <cols>
    <col min="1" max="1" width="4.42578125" style="2" customWidth="1"/>
    <col min="2" max="2" width="10.140625" style="17" customWidth="1"/>
    <col min="3" max="3" width="58.28515625" style="2" customWidth="1"/>
    <col min="4" max="15" width="14" style="17" customWidth="1"/>
    <col min="16" max="44" width="10.42578125" style="2" customWidth="1"/>
    <col min="45" max="45" width="12" style="2" customWidth="1"/>
    <col min="46" max="46" width="10.85546875" style="2" bestFit="1" customWidth="1"/>
    <col min="47" max="47" width="12.42578125" style="2" customWidth="1"/>
    <col min="48" max="48" width="10.42578125" style="2"/>
    <col min="49" max="49" width="13" style="2" customWidth="1"/>
    <col min="50" max="50" width="15.5703125" style="2" bestFit="1" customWidth="1"/>
    <col min="51" max="51" width="10.42578125" style="2"/>
    <col min="52" max="52" width="12.28515625" style="2" customWidth="1"/>
    <col min="53" max="53" width="14.28515625" style="2" bestFit="1" customWidth="1"/>
    <col min="54" max="54" width="11.28515625" style="2" customWidth="1"/>
    <col min="55" max="59" width="10.42578125" style="2"/>
    <col min="60" max="60" width="12.140625" style="2" bestFit="1" customWidth="1"/>
    <col min="61" max="16384" width="10.42578125" style="2"/>
  </cols>
  <sheetData>
    <row r="1" spans="2:63" x14ac:dyDescent="0.2">
      <c r="C1" s="1" t="s">
        <v>0</v>
      </c>
    </row>
    <row r="2" spans="2:63" x14ac:dyDescent="0.2">
      <c r="B2" s="3" t="s">
        <v>259</v>
      </c>
      <c r="D2" s="29"/>
      <c r="J2" s="93"/>
      <c r="K2" s="93"/>
    </row>
    <row r="3" spans="2:63" x14ac:dyDescent="0.2">
      <c r="B3" s="3" t="s">
        <v>286</v>
      </c>
      <c r="G3" s="93"/>
      <c r="H3" s="93"/>
      <c r="I3" s="93"/>
    </row>
    <row r="4" spans="2:63" x14ac:dyDescent="0.2">
      <c r="B4" s="3" t="s">
        <v>337</v>
      </c>
    </row>
    <row r="5" spans="2:63" x14ac:dyDescent="0.2">
      <c r="B5" s="3" t="s">
        <v>3</v>
      </c>
    </row>
    <row r="6" spans="2:63" s="110" customFormat="1" ht="15" customHeight="1" x14ac:dyDescent="0.25">
      <c r="B6" s="139" t="s">
        <v>260</v>
      </c>
      <c r="C6" s="139" t="s">
        <v>4</v>
      </c>
      <c r="D6" s="137" t="s">
        <v>255</v>
      </c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5" t="s">
        <v>284</v>
      </c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40" t="s">
        <v>288</v>
      </c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35" t="s">
        <v>313</v>
      </c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</row>
    <row r="7" spans="2:63" s="111" customFormat="1" ht="15.75" customHeight="1" x14ac:dyDescent="0.2">
      <c r="B7" s="139"/>
      <c r="C7" s="139"/>
      <c r="D7" s="138" t="s">
        <v>19</v>
      </c>
      <c r="E7" s="138"/>
      <c r="F7" s="138"/>
      <c r="G7" s="138"/>
      <c r="H7" s="138"/>
      <c r="I7" s="138"/>
      <c r="J7" s="138"/>
      <c r="K7" s="138" t="s">
        <v>25</v>
      </c>
      <c r="L7" s="138"/>
      <c r="M7" s="138"/>
      <c r="N7" s="138"/>
      <c r="O7" s="138"/>
      <c r="P7" s="136" t="s">
        <v>19</v>
      </c>
      <c r="Q7" s="136"/>
      <c r="R7" s="136"/>
      <c r="S7" s="136"/>
      <c r="T7" s="136"/>
      <c r="U7" s="136"/>
      <c r="V7" s="136"/>
      <c r="W7" s="136" t="s">
        <v>25</v>
      </c>
      <c r="X7" s="136"/>
      <c r="Y7" s="136"/>
      <c r="Z7" s="136"/>
      <c r="AA7" s="136"/>
      <c r="AB7" s="136"/>
      <c r="AC7" s="136"/>
      <c r="AD7" s="141" t="s">
        <v>19</v>
      </c>
      <c r="AE7" s="141"/>
      <c r="AF7" s="141"/>
      <c r="AG7" s="141"/>
      <c r="AH7" s="141"/>
      <c r="AI7" s="141"/>
      <c r="AJ7" s="141"/>
      <c r="AK7" s="141"/>
      <c r="AL7" s="141" t="s">
        <v>25</v>
      </c>
      <c r="AM7" s="141"/>
      <c r="AN7" s="141"/>
      <c r="AO7" s="141"/>
      <c r="AP7" s="141"/>
      <c r="AQ7" s="141"/>
      <c r="AR7" s="141"/>
      <c r="AS7" s="136" t="s">
        <v>19</v>
      </c>
      <c r="AT7" s="136"/>
      <c r="AU7" s="136"/>
      <c r="AV7" s="136"/>
      <c r="AW7" s="136"/>
      <c r="AX7" s="136"/>
      <c r="AY7" s="136"/>
      <c r="AZ7" s="136"/>
      <c r="BA7" s="136" t="s">
        <v>25</v>
      </c>
      <c r="BB7" s="136"/>
      <c r="BC7" s="136"/>
      <c r="BD7" s="136"/>
      <c r="BE7" s="136"/>
      <c r="BF7" s="136"/>
      <c r="BG7" s="136"/>
    </row>
    <row r="8" spans="2:63" s="111" customFormat="1" ht="102.75" customHeight="1" x14ac:dyDescent="0.2">
      <c r="B8" s="139"/>
      <c r="C8" s="139"/>
      <c r="D8" s="109" t="s">
        <v>26</v>
      </c>
      <c r="E8" s="109" t="s">
        <v>281</v>
      </c>
      <c r="F8" s="109" t="s">
        <v>282</v>
      </c>
      <c r="G8" s="109" t="s">
        <v>35</v>
      </c>
      <c r="H8" s="109" t="s">
        <v>256</v>
      </c>
      <c r="I8" s="109" t="s">
        <v>245</v>
      </c>
      <c r="J8" s="109" t="s">
        <v>38</v>
      </c>
      <c r="K8" s="109" t="s">
        <v>39</v>
      </c>
      <c r="L8" s="109" t="s">
        <v>283</v>
      </c>
      <c r="M8" s="109" t="s">
        <v>257</v>
      </c>
      <c r="N8" s="109" t="s">
        <v>41</v>
      </c>
      <c r="O8" s="109" t="s">
        <v>258</v>
      </c>
      <c r="P8" s="120" t="s">
        <v>289</v>
      </c>
      <c r="Q8" s="120" t="s">
        <v>290</v>
      </c>
      <c r="R8" s="120" t="s">
        <v>291</v>
      </c>
      <c r="S8" s="120" t="s">
        <v>292</v>
      </c>
      <c r="T8" s="120" t="s">
        <v>293</v>
      </c>
      <c r="U8" s="120" t="s">
        <v>294</v>
      </c>
      <c r="V8" s="120" t="s">
        <v>38</v>
      </c>
      <c r="W8" s="120" t="s">
        <v>295</v>
      </c>
      <c r="X8" s="120" t="s">
        <v>296</v>
      </c>
      <c r="Y8" s="120" t="s">
        <v>297</v>
      </c>
      <c r="Z8" s="120" t="s">
        <v>298</v>
      </c>
      <c r="AA8" s="120" t="s">
        <v>299</v>
      </c>
      <c r="AB8" s="120" t="s">
        <v>41</v>
      </c>
      <c r="AC8" s="120" t="s">
        <v>300</v>
      </c>
      <c r="AD8" s="118" t="s">
        <v>301</v>
      </c>
      <c r="AE8" s="118" t="s">
        <v>302</v>
      </c>
      <c r="AF8" s="118" t="s">
        <v>303</v>
      </c>
      <c r="AG8" s="118" t="s">
        <v>304</v>
      </c>
      <c r="AH8" s="118" t="s">
        <v>305</v>
      </c>
      <c r="AI8" s="118" t="s">
        <v>306</v>
      </c>
      <c r="AJ8" s="118" t="s">
        <v>307</v>
      </c>
      <c r="AK8" s="118" t="s">
        <v>38</v>
      </c>
      <c r="AL8" s="118" t="s">
        <v>308</v>
      </c>
      <c r="AM8" s="118" t="s">
        <v>309</v>
      </c>
      <c r="AN8" s="118" t="s">
        <v>310</v>
      </c>
      <c r="AO8" s="118" t="s">
        <v>285</v>
      </c>
      <c r="AP8" s="118" t="s">
        <v>311</v>
      </c>
      <c r="AQ8" s="118" t="s">
        <v>41</v>
      </c>
      <c r="AR8" s="118" t="s">
        <v>312</v>
      </c>
      <c r="AS8" s="120" t="s">
        <v>314</v>
      </c>
      <c r="AT8" s="120" t="s">
        <v>315</v>
      </c>
      <c r="AU8" s="120" t="s">
        <v>316</v>
      </c>
      <c r="AV8" s="120" t="s">
        <v>317</v>
      </c>
      <c r="AW8" s="120" t="s">
        <v>35</v>
      </c>
      <c r="AX8" s="120" t="s">
        <v>318</v>
      </c>
      <c r="AY8" s="120" t="s">
        <v>319</v>
      </c>
      <c r="AZ8" s="120" t="s">
        <v>38</v>
      </c>
      <c r="BA8" s="120" t="s">
        <v>320</v>
      </c>
      <c r="BB8" s="120" t="s">
        <v>336</v>
      </c>
      <c r="BC8" s="120" t="s">
        <v>310</v>
      </c>
      <c r="BD8" s="120" t="s">
        <v>285</v>
      </c>
      <c r="BE8" s="120" t="s">
        <v>311</v>
      </c>
      <c r="BF8" s="120" t="s">
        <v>41</v>
      </c>
      <c r="BG8" s="120" t="s">
        <v>321</v>
      </c>
    </row>
    <row r="9" spans="2:63" ht="15.75" customHeight="1" x14ac:dyDescent="0.2">
      <c r="C9" s="103" t="s">
        <v>54</v>
      </c>
      <c r="D9" s="104">
        <f>SUM(D10:D25)</f>
        <v>1628037.6584140002</v>
      </c>
      <c r="E9" s="104">
        <f>SUM(E10:E25)</f>
        <v>338305.96099200007</v>
      </c>
      <c r="F9" s="104">
        <f t="shared" ref="F9:I9" si="0">SUM(F10:F25)</f>
        <v>9531.9629989999994</v>
      </c>
      <c r="G9" s="104">
        <f t="shared" si="0"/>
        <v>26234.650201000004</v>
      </c>
      <c r="H9" s="104">
        <f t="shared" si="0"/>
        <v>15351.874530000003</v>
      </c>
      <c r="I9" s="104">
        <f t="shared" si="0"/>
        <v>27356.75</v>
      </c>
      <c r="J9" s="104">
        <f>+SUM(D9:I9)</f>
        <v>2044818.8571360002</v>
      </c>
      <c r="K9" s="104">
        <f>SUM(K10:K25)</f>
        <v>84294.877912999975</v>
      </c>
      <c r="L9" s="104">
        <f>SUM(L10:L25)</f>
        <v>61192.062111000007</v>
      </c>
      <c r="M9" s="104">
        <f>SUM(M10:M25)</f>
        <v>33806.675497000004</v>
      </c>
      <c r="N9" s="104">
        <f>SUM(K9:M9)</f>
        <v>179293.615521</v>
      </c>
      <c r="O9" s="104">
        <f t="shared" ref="O9:O44" si="1">+N9+J9</f>
        <v>2224112.4726570002</v>
      </c>
      <c r="P9" s="114">
        <f>+SUM(P10:P25)</f>
        <v>1723875.874603495</v>
      </c>
      <c r="Q9" s="114">
        <f t="shared" ref="Q9:AC9" si="2">+SUM(Q10:Q25)</f>
        <v>357714.27131600009</v>
      </c>
      <c r="R9" s="114">
        <f t="shared" si="2"/>
        <v>14125.521708000002</v>
      </c>
      <c r="S9" s="114">
        <f t="shared" si="2"/>
        <v>26364.127443999998</v>
      </c>
      <c r="T9" s="114">
        <f t="shared" si="2"/>
        <v>56053.505006504718</v>
      </c>
      <c r="U9" s="114">
        <f t="shared" si="2"/>
        <v>12299.738860147594</v>
      </c>
      <c r="V9" s="114">
        <f t="shared" si="2"/>
        <v>2190433.0389381479</v>
      </c>
      <c r="W9" s="114">
        <f t="shared" si="2"/>
        <v>86823.724247999999</v>
      </c>
      <c r="X9" s="114">
        <f t="shared" si="2"/>
        <v>75451.446964000002</v>
      </c>
      <c r="Y9" s="114">
        <f t="shared" si="2"/>
        <v>36162.717754043071</v>
      </c>
      <c r="Z9" s="114">
        <f t="shared" si="2"/>
        <v>88985.716108000008</v>
      </c>
      <c r="AA9" s="114">
        <f t="shared" si="2"/>
        <v>628.160302</v>
      </c>
      <c r="AB9" s="114">
        <f t="shared" si="2"/>
        <v>288051.76537604304</v>
      </c>
      <c r="AC9" s="114">
        <f t="shared" si="2"/>
        <v>2478484.8043141901</v>
      </c>
      <c r="AD9" s="114">
        <f>+SUM(AD10:AD26)</f>
        <v>1800983.1578382486</v>
      </c>
      <c r="AE9" s="114">
        <f t="shared" ref="AE9:AJ9" si="3">+SUM(AE10:AE26)</f>
        <v>58183.538196751899</v>
      </c>
      <c r="AF9" s="114">
        <f t="shared" si="3"/>
        <v>370942.94780699996</v>
      </c>
      <c r="AG9" s="114">
        <f t="shared" si="3"/>
        <v>19549.984849</v>
      </c>
      <c r="AH9" s="114">
        <f t="shared" si="3"/>
        <v>27370.684353000004</v>
      </c>
      <c r="AI9" s="114">
        <f t="shared" si="3"/>
        <v>68654.437676999994</v>
      </c>
      <c r="AJ9" s="114">
        <f t="shared" si="3"/>
        <v>18818.843121000005</v>
      </c>
      <c r="AK9" s="114">
        <f>+SUM(AK10:AK26)</f>
        <v>2364503.5938420002</v>
      </c>
      <c r="AL9" s="114">
        <f>+SUM(AL10:AL26)</f>
        <v>89775.730874000001</v>
      </c>
      <c r="AM9" s="114">
        <f t="shared" ref="AM9:BG9" si="4">+SUM(AM10:AM26)</f>
        <v>56924.997954999992</v>
      </c>
      <c r="AN9" s="114">
        <f t="shared" si="4"/>
        <v>72241.507069999992</v>
      </c>
      <c r="AO9" s="114">
        <f t="shared" si="4"/>
        <v>55182.241390999996</v>
      </c>
      <c r="AP9" s="114">
        <f t="shared" si="4"/>
        <v>589.37656000000004</v>
      </c>
      <c r="AQ9" s="114">
        <f t="shared" si="4"/>
        <v>274713.85384999996</v>
      </c>
      <c r="AR9" s="114">
        <f t="shared" si="4"/>
        <v>2639217.4476919998</v>
      </c>
      <c r="AS9" s="114">
        <f t="shared" si="4"/>
        <v>1829978.9866816811</v>
      </c>
      <c r="AT9" s="114">
        <f t="shared" si="4"/>
        <v>59120.293161719608</v>
      </c>
      <c r="AU9" s="114">
        <f t="shared" si="4"/>
        <v>69759.774123599695</v>
      </c>
      <c r="AV9" s="114">
        <f t="shared" si="4"/>
        <v>380233.56112500007</v>
      </c>
      <c r="AW9" s="114">
        <f t="shared" si="4"/>
        <v>52402.884090329993</v>
      </c>
      <c r="AX9" s="114">
        <f t="shared" si="4"/>
        <v>83841.308778000006</v>
      </c>
      <c r="AY9" s="114">
        <f t="shared" si="4"/>
        <v>9443.2760500000004</v>
      </c>
      <c r="AZ9" s="114">
        <f t="shared" si="4"/>
        <v>2484780.0840103296</v>
      </c>
      <c r="BA9" s="114">
        <f t="shared" si="4"/>
        <v>92558.778532999975</v>
      </c>
      <c r="BB9" s="114">
        <f t="shared" si="4"/>
        <v>62882.741098000006</v>
      </c>
      <c r="BC9" s="114">
        <f t="shared" si="4"/>
        <v>91446.517958000011</v>
      </c>
      <c r="BD9" s="114">
        <f t="shared" si="4"/>
        <v>35912.802031999992</v>
      </c>
      <c r="BE9" s="114">
        <f t="shared" si="4"/>
        <v>1738.269303</v>
      </c>
      <c r="BF9" s="114">
        <f t="shared" si="4"/>
        <v>284539.10892399994</v>
      </c>
      <c r="BG9" s="114">
        <f t="shared" si="4"/>
        <v>2769319.1929343301</v>
      </c>
    </row>
    <row r="10" spans="2:63" ht="12.75" customHeight="1" x14ac:dyDescent="0.2">
      <c r="B10" s="18">
        <v>1101</v>
      </c>
      <c r="C10" s="106" t="s">
        <v>261</v>
      </c>
      <c r="D10" s="16">
        <v>709103.585953</v>
      </c>
      <c r="E10" s="16">
        <v>240269.69716499999</v>
      </c>
      <c r="F10" s="16">
        <v>1060.5138159999999</v>
      </c>
      <c r="G10" s="16">
        <v>5497.0862429999997</v>
      </c>
      <c r="H10" s="16">
        <v>3748.806071</v>
      </c>
      <c r="I10" s="16">
        <f>2102 + 20000</f>
        <v>22102</v>
      </c>
      <c r="J10" s="16">
        <f>+SUM(D10:I10)</f>
        <v>981781.68924800004</v>
      </c>
      <c r="K10" s="16">
        <v>53658.921845999997</v>
      </c>
      <c r="L10" s="16">
        <v>51949.499016000002</v>
      </c>
      <c r="M10" s="16">
        <v>3717.3669279999999</v>
      </c>
      <c r="N10" s="16">
        <f t="shared" ref="N10:N43" si="5">+SUM(K10:M10)</f>
        <v>109325.78779</v>
      </c>
      <c r="O10" s="16">
        <f t="shared" si="1"/>
        <v>1091107.477038</v>
      </c>
      <c r="P10" s="113">
        <v>758325.87991373567</v>
      </c>
      <c r="Q10" s="113">
        <v>254593.918316</v>
      </c>
      <c r="R10" s="113">
        <v>1487.112629</v>
      </c>
      <c r="S10" s="113">
        <v>5318.8501779999997</v>
      </c>
      <c r="T10" s="113">
        <v>20667.500967264405</v>
      </c>
      <c r="U10" s="113">
        <v>1339.750696036054</v>
      </c>
      <c r="V10" s="113">
        <f>+SUM(P10:U10)</f>
        <v>1041733.0127000362</v>
      </c>
      <c r="W10" s="113">
        <v>55268.689501000001</v>
      </c>
      <c r="X10" s="113">
        <v>63000</v>
      </c>
      <c r="Y10" s="113">
        <v>3108.3909008785877</v>
      </c>
      <c r="Z10" s="113">
        <v>16132.652488</v>
      </c>
      <c r="AA10" s="113">
        <v>0</v>
      </c>
      <c r="AB10" s="113">
        <f>+SUM(W10:AA10)</f>
        <v>137509.73288987859</v>
      </c>
      <c r="AC10" s="113">
        <f>+AB10+V10</f>
        <v>1179242.7455899147</v>
      </c>
      <c r="AD10" s="113">
        <v>787142.26334997953</v>
      </c>
      <c r="AE10" s="113">
        <v>21452.866004020452</v>
      </c>
      <c r="AF10" s="113">
        <v>264026.72499199997</v>
      </c>
      <c r="AG10" s="113">
        <v>2023.944117</v>
      </c>
      <c r="AH10" s="113">
        <v>5704.6670679999997</v>
      </c>
      <c r="AI10" s="113">
        <v>21239.624131</v>
      </c>
      <c r="AJ10" s="113">
        <v>1793.1930259999999</v>
      </c>
      <c r="AK10" s="113">
        <f>+SUM(AD10:AJ10)</f>
        <v>1103383.2826879998</v>
      </c>
      <c r="AL10" s="119">
        <v>57147.824944</v>
      </c>
      <c r="AM10" s="119">
        <v>27771.5226</v>
      </c>
      <c r="AN10" s="113">
        <v>6472.1597490000004</v>
      </c>
      <c r="AO10" s="113">
        <v>10030.061465000001</v>
      </c>
      <c r="AP10" s="113">
        <v>0</v>
      </c>
      <c r="AQ10" s="113">
        <f>+SUM(AL10:AP10)</f>
        <v>101421.56875800001</v>
      </c>
      <c r="AR10" s="113">
        <f>+AQ10+AK10</f>
        <v>1204804.8514459997</v>
      </c>
      <c r="AS10" s="113">
        <v>799815.25378980569</v>
      </c>
      <c r="AT10" s="113">
        <v>21798.25714668518</v>
      </c>
      <c r="AU10" s="113">
        <v>21581.582079509102</v>
      </c>
      <c r="AV10" s="113">
        <v>268277.55526400002</v>
      </c>
      <c r="AW10" s="113">
        <v>9768.5178620000006</v>
      </c>
      <c r="AX10" s="113">
        <v>25055.809643000001</v>
      </c>
      <c r="AY10" s="113">
        <v>862.37297699999999</v>
      </c>
      <c r="AZ10" s="113">
        <f>+SUM(AS10:AY10)</f>
        <v>1147159.348762</v>
      </c>
      <c r="BA10" s="113">
        <v>58919.407517</v>
      </c>
      <c r="BB10" s="113">
        <v>29847.817823999998</v>
      </c>
      <c r="BC10" s="113">
        <v>7818.8156950000002</v>
      </c>
      <c r="BD10" s="113">
        <v>6734.8348610000003</v>
      </c>
      <c r="BE10" s="5">
        <v>0</v>
      </c>
      <c r="BF10" s="113">
        <f>+SUM(BA10:BE10)</f>
        <v>103320.87589699999</v>
      </c>
      <c r="BG10" s="113">
        <f>+BF10+AZ10</f>
        <v>1250480.2246590001</v>
      </c>
      <c r="BH10" s="122"/>
      <c r="BK10" s="122"/>
    </row>
    <row r="11" spans="2:63" ht="12.75" customHeight="1" x14ac:dyDescent="0.2">
      <c r="B11" s="18">
        <v>1110</v>
      </c>
      <c r="C11" s="107" t="s">
        <v>262</v>
      </c>
      <c r="D11" s="16">
        <v>111885.44652300001</v>
      </c>
      <c r="E11" s="16">
        <v>30332.607263000002</v>
      </c>
      <c r="F11" s="16">
        <v>673.18381799999997</v>
      </c>
      <c r="G11" s="16">
        <v>840.94397500000002</v>
      </c>
      <c r="H11" s="16">
        <v>1103.31681</v>
      </c>
      <c r="I11" s="16"/>
      <c r="J11" s="16">
        <f t="shared" ref="J11:J25" si="6">+SUM(D11:I11)</f>
        <v>144835.49838899999</v>
      </c>
      <c r="K11" s="16">
        <v>3547.7855100000002</v>
      </c>
      <c r="L11" s="16">
        <v>530.05201699999998</v>
      </c>
      <c r="M11" s="16">
        <v>2300.1399390000001</v>
      </c>
      <c r="N11" s="16">
        <f t="shared" si="5"/>
        <v>6377.9774660000003</v>
      </c>
      <c r="O11" s="16">
        <f t="shared" si="1"/>
        <v>151213.475855</v>
      </c>
      <c r="P11" s="113">
        <v>116581.79650983182</v>
      </c>
      <c r="Q11" s="113">
        <v>34316.78925200001</v>
      </c>
      <c r="R11" s="113">
        <v>816.56720700000005</v>
      </c>
      <c r="S11" s="113">
        <v>818.50175200000001</v>
      </c>
      <c r="T11" s="113">
        <v>3672.0061761681868</v>
      </c>
      <c r="U11" s="113">
        <v>797.98288809128371</v>
      </c>
      <c r="V11" s="113">
        <f t="shared" ref="V11:V43" si="7">+SUM(P11:U11)</f>
        <v>157003.64378509132</v>
      </c>
      <c r="W11" s="113">
        <v>3654.219075</v>
      </c>
      <c r="X11" s="113">
        <v>771.57116099999996</v>
      </c>
      <c r="Y11" s="113">
        <v>2322.7555869990738</v>
      </c>
      <c r="Z11" s="113">
        <v>5099.9110090000004</v>
      </c>
      <c r="AA11" s="113">
        <v>0</v>
      </c>
      <c r="AB11" s="113">
        <f t="shared" ref="AB11:AB25" si="8">+SUM(W11:AA11)</f>
        <v>11848.456831999074</v>
      </c>
      <c r="AC11" s="113">
        <f t="shared" ref="AC11:AC43" si="9">+AB11+V11</f>
        <v>168852.10061709039</v>
      </c>
      <c r="AD11" s="113">
        <v>121011.90477713742</v>
      </c>
      <c r="AE11" s="113">
        <v>3811.542410862578</v>
      </c>
      <c r="AF11" s="113">
        <v>34420.001220999999</v>
      </c>
      <c r="AG11" s="113">
        <v>1123.6939159999999</v>
      </c>
      <c r="AH11" s="113">
        <v>805.28866900000003</v>
      </c>
      <c r="AI11" s="113">
        <v>4572.558763</v>
      </c>
      <c r="AJ11" s="113">
        <v>1245.6706260000001</v>
      </c>
      <c r="AK11" s="113">
        <f t="shared" ref="AK11:AK26" si="10">+SUM(AD11:AJ11)</f>
        <v>166990.66038300001</v>
      </c>
      <c r="AL11" s="119">
        <v>3778.462524</v>
      </c>
      <c r="AM11" s="119">
        <v>1786.8403949999999</v>
      </c>
      <c r="AN11" s="113">
        <v>5022.2939649999998</v>
      </c>
      <c r="AO11" s="113">
        <v>3381.5395269999999</v>
      </c>
      <c r="AP11" s="113">
        <v>0</v>
      </c>
      <c r="AQ11" s="113">
        <f t="shared" ref="AQ11:AQ26" si="11">+SUM(AL11:AP11)</f>
        <v>13969.136410999999</v>
      </c>
      <c r="AR11" s="113">
        <f t="shared" ref="AR11:AR26" si="12">+AQ11+AK11</f>
        <v>180959.79679400002</v>
      </c>
      <c r="AS11" s="113">
        <v>122960.19644423823</v>
      </c>
      <c r="AT11" s="113">
        <v>3872.9082436774656</v>
      </c>
      <c r="AU11" s="113">
        <v>4646.1769590842996</v>
      </c>
      <c r="AV11" s="113">
        <v>34200.696322999996</v>
      </c>
      <c r="AW11" s="113">
        <v>979.04200000000003</v>
      </c>
      <c r="AX11" s="113">
        <v>5537.6800899999998</v>
      </c>
      <c r="AY11" s="113">
        <v>624.28300200000001</v>
      </c>
      <c r="AZ11" s="113">
        <f t="shared" ref="AZ11:AZ43" si="13">+SUM(AS11:AY11)</f>
        <v>172820.98306200001</v>
      </c>
      <c r="BA11" s="113">
        <v>3895.5948619999999</v>
      </c>
      <c r="BB11" s="113">
        <v>1906.9286669999999</v>
      </c>
      <c r="BC11" s="113">
        <v>6317.4070039999997</v>
      </c>
      <c r="BD11" s="113">
        <v>2245.3794809999999</v>
      </c>
      <c r="BE11" s="5">
        <v>0</v>
      </c>
      <c r="BF11" s="113">
        <f t="shared" ref="BF11:BF43" si="14">+SUM(BA11:BE11)</f>
        <v>14365.310013999999</v>
      </c>
      <c r="BG11" s="113">
        <f t="shared" ref="BG11:BG43" si="15">+BF11+AZ11</f>
        <v>187186.293076</v>
      </c>
      <c r="BH11" s="122"/>
      <c r="BK11" s="122"/>
    </row>
    <row r="12" spans="2:63" ht="12.75" customHeight="1" x14ac:dyDescent="0.2">
      <c r="B12" s="18">
        <v>1105</v>
      </c>
      <c r="C12" s="107" t="s">
        <v>263</v>
      </c>
      <c r="D12" s="16">
        <v>70662.806985000003</v>
      </c>
      <c r="E12" s="16"/>
      <c r="F12" s="16">
        <v>578.77181199999995</v>
      </c>
      <c r="G12" s="16">
        <v>566.02841799999999</v>
      </c>
      <c r="H12" s="16">
        <v>876.72668599999997</v>
      </c>
      <c r="I12" s="16"/>
      <c r="J12" s="16">
        <f t="shared" si="6"/>
        <v>72684.333901000005</v>
      </c>
      <c r="K12" s="16">
        <v>2404.2157820000002</v>
      </c>
      <c r="L12" s="16">
        <v>564.140263</v>
      </c>
      <c r="M12" s="16">
        <v>2165.7778939999998</v>
      </c>
      <c r="N12" s="16">
        <f t="shared" si="5"/>
        <v>5134.1339390000003</v>
      </c>
      <c r="O12" s="16">
        <f t="shared" si="1"/>
        <v>77818.467840000012</v>
      </c>
      <c r="P12" s="113">
        <v>73814.48482787807</v>
      </c>
      <c r="Q12" s="113"/>
      <c r="R12" s="113">
        <v>992.58066299999996</v>
      </c>
      <c r="S12" s="113">
        <v>480.92179299999998</v>
      </c>
      <c r="T12" s="113">
        <v>2226.4697571219303</v>
      </c>
      <c r="U12" s="113">
        <v>1113.2204777798281</v>
      </c>
      <c r="V12" s="113">
        <f t="shared" si="7"/>
        <v>78627.677518779834</v>
      </c>
      <c r="W12" s="113">
        <v>2476.342255</v>
      </c>
      <c r="X12" s="113">
        <v>588.76850400000001</v>
      </c>
      <c r="Y12" s="113">
        <v>2515.1570217956432</v>
      </c>
      <c r="Z12" s="113">
        <v>6450.2871489999998</v>
      </c>
      <c r="AA12" s="113">
        <v>0</v>
      </c>
      <c r="AB12" s="113">
        <f t="shared" si="8"/>
        <v>12030.554929795642</v>
      </c>
      <c r="AC12" s="113">
        <f t="shared" si="9"/>
        <v>90658.23244857548</v>
      </c>
      <c r="AD12" s="113">
        <v>76619.435251107439</v>
      </c>
      <c r="AE12" s="113">
        <v>2311.0756078925638</v>
      </c>
      <c r="AF12" s="113">
        <v>0</v>
      </c>
      <c r="AG12" s="113">
        <v>1331.527787</v>
      </c>
      <c r="AH12" s="113">
        <v>472.27056900000002</v>
      </c>
      <c r="AI12" s="113">
        <v>3357.6299939999999</v>
      </c>
      <c r="AJ12" s="113">
        <v>1192.379936</v>
      </c>
      <c r="AK12" s="113">
        <f t="shared" si="10"/>
        <v>85284.319145000001</v>
      </c>
      <c r="AL12" s="119">
        <v>2560.5378919999998</v>
      </c>
      <c r="AM12" s="119">
        <v>954.85300899999993</v>
      </c>
      <c r="AN12" s="113">
        <v>4609.1040380000004</v>
      </c>
      <c r="AO12" s="113">
        <v>4524.8410039999999</v>
      </c>
      <c r="AP12" s="113">
        <v>0</v>
      </c>
      <c r="AQ12" s="113">
        <f t="shared" si="11"/>
        <v>12649.335943</v>
      </c>
      <c r="AR12" s="113">
        <f t="shared" si="12"/>
        <v>97933.655088</v>
      </c>
      <c r="AS12" s="113">
        <v>77853.008158916971</v>
      </c>
      <c r="AT12" s="113">
        <v>2348.283925179634</v>
      </c>
      <c r="AU12" s="113">
        <v>3411.6878369033998</v>
      </c>
      <c r="AV12" s="5"/>
      <c r="AW12" s="113">
        <v>866.35570467999992</v>
      </c>
      <c r="AX12" s="113">
        <v>4056.0708829999999</v>
      </c>
      <c r="AY12" s="113">
        <v>576.67463699999996</v>
      </c>
      <c r="AZ12" s="113">
        <f t="shared" si="13"/>
        <v>89112.08114568</v>
      </c>
      <c r="BA12" s="113">
        <v>2639.9145669999998</v>
      </c>
      <c r="BB12" s="113">
        <v>1027.3913870000001</v>
      </c>
      <c r="BC12" s="113">
        <v>5788.2963760000002</v>
      </c>
      <c r="BD12" s="113">
        <v>3103.1564939999998</v>
      </c>
      <c r="BE12" s="5">
        <v>0</v>
      </c>
      <c r="BF12" s="113">
        <f t="shared" si="14"/>
        <v>12558.758824</v>
      </c>
      <c r="BG12" s="113">
        <f t="shared" si="15"/>
        <v>101670.83996968</v>
      </c>
      <c r="BH12" s="122"/>
      <c r="BK12" s="122"/>
    </row>
    <row r="13" spans="2:63" ht="12.75" customHeight="1" x14ac:dyDescent="0.2">
      <c r="B13" s="18">
        <v>1112</v>
      </c>
      <c r="C13" s="107" t="s">
        <v>198</v>
      </c>
      <c r="D13" s="16">
        <v>85930.676986000006</v>
      </c>
      <c r="E13" s="16">
        <v>22814.211843000001</v>
      </c>
      <c r="F13" s="16">
        <v>601.97926800000005</v>
      </c>
      <c r="G13" s="16">
        <v>925.67686500000002</v>
      </c>
      <c r="H13" s="16">
        <v>979.31783900000005</v>
      </c>
      <c r="I13" s="16"/>
      <c r="J13" s="16">
        <f t="shared" si="6"/>
        <v>111251.862801</v>
      </c>
      <c r="K13" s="16">
        <v>3841.623544</v>
      </c>
      <c r="L13" s="16">
        <v>766.78343299999995</v>
      </c>
      <c r="M13" s="16">
        <v>2060.5464910000001</v>
      </c>
      <c r="N13" s="16">
        <f t="shared" si="5"/>
        <v>6668.9534679999997</v>
      </c>
      <c r="O13" s="16">
        <f t="shared" si="1"/>
        <v>117920.816269</v>
      </c>
      <c r="P13" s="113">
        <v>89673.725354430091</v>
      </c>
      <c r="Q13" s="113">
        <v>21108.340267</v>
      </c>
      <c r="R13" s="113">
        <v>938.755492</v>
      </c>
      <c r="S13" s="113">
        <v>848.64853600000004</v>
      </c>
      <c r="T13" s="113">
        <v>2825.1881975699148</v>
      </c>
      <c r="U13" s="113">
        <v>792.20308180775726</v>
      </c>
      <c r="V13" s="113">
        <f t="shared" si="7"/>
        <v>116186.86092880776</v>
      </c>
      <c r="W13" s="113">
        <v>3956.8722499999999</v>
      </c>
      <c r="X13" s="113">
        <v>920.43649700000003</v>
      </c>
      <c r="Y13" s="113">
        <v>2388.659589709388</v>
      </c>
      <c r="Z13" s="113">
        <v>5554.0774810000003</v>
      </c>
      <c r="AA13" s="113">
        <v>0</v>
      </c>
      <c r="AB13" s="113">
        <f t="shared" si="8"/>
        <v>12820.045817709388</v>
      </c>
      <c r="AC13" s="113">
        <f t="shared" si="9"/>
        <v>129006.90674651714</v>
      </c>
      <c r="AD13" s="113">
        <v>93081.32691792243</v>
      </c>
      <c r="AE13" s="113">
        <v>2932.5453490775717</v>
      </c>
      <c r="AF13" s="113">
        <v>24106.635263</v>
      </c>
      <c r="AG13" s="113">
        <v>1332.94019</v>
      </c>
      <c r="AH13" s="113">
        <v>685.39660200000003</v>
      </c>
      <c r="AI13" s="113">
        <v>3762.1422640000001</v>
      </c>
      <c r="AJ13" s="113">
        <v>1191.7387450000001</v>
      </c>
      <c r="AK13" s="113">
        <f t="shared" si="10"/>
        <v>127092.72533099998</v>
      </c>
      <c r="AL13" s="119">
        <v>4091.4059069999998</v>
      </c>
      <c r="AM13" s="119">
        <v>2297.7180290000001</v>
      </c>
      <c r="AN13" s="113">
        <v>4843.6772209999999</v>
      </c>
      <c r="AO13" s="113">
        <v>3536.165567</v>
      </c>
      <c r="AP13" s="113">
        <v>0</v>
      </c>
      <c r="AQ13" s="113">
        <f t="shared" si="11"/>
        <v>14768.966724</v>
      </c>
      <c r="AR13" s="113">
        <f t="shared" si="12"/>
        <v>141861.69205499999</v>
      </c>
      <c r="AS13" s="113">
        <v>94579.936281351867</v>
      </c>
      <c r="AT13" s="113">
        <v>2979.7593291977205</v>
      </c>
      <c r="AU13" s="113">
        <v>3822.7127544504001</v>
      </c>
      <c r="AV13" s="113">
        <v>27976.554964999999</v>
      </c>
      <c r="AW13" s="113">
        <v>1347.6217799999999</v>
      </c>
      <c r="AX13" s="113">
        <v>4561.7184280000001</v>
      </c>
      <c r="AY13" s="113">
        <v>580.63662899999997</v>
      </c>
      <c r="AZ13" s="113">
        <f t="shared" si="13"/>
        <v>135848.94016699999</v>
      </c>
      <c r="BA13" s="113">
        <v>4218.2394899999999</v>
      </c>
      <c r="BB13" s="113">
        <v>2106.0771649999997</v>
      </c>
      <c r="BC13" s="113">
        <v>5992.4806570000001</v>
      </c>
      <c r="BD13" s="113">
        <v>2576.705911</v>
      </c>
      <c r="BE13" s="5">
        <v>0</v>
      </c>
      <c r="BF13" s="113">
        <f t="shared" si="14"/>
        <v>14893.503223</v>
      </c>
      <c r="BG13" s="113">
        <f t="shared" si="15"/>
        <v>150742.44339</v>
      </c>
      <c r="BH13" s="122"/>
      <c r="BK13" s="122"/>
    </row>
    <row r="14" spans="2:63" x14ac:dyDescent="0.2">
      <c r="B14" s="18">
        <v>1106</v>
      </c>
      <c r="C14" s="107" t="s">
        <v>264</v>
      </c>
      <c r="D14" s="16">
        <v>135036.59832200001</v>
      </c>
      <c r="E14" s="16"/>
      <c r="F14" s="16">
        <v>740.67397900000003</v>
      </c>
      <c r="G14" s="16">
        <v>2617.9173890000002</v>
      </c>
      <c r="H14" s="16">
        <v>1165.857309</v>
      </c>
      <c r="I14" s="16"/>
      <c r="J14" s="16">
        <f t="shared" si="6"/>
        <v>139561.04699900004</v>
      </c>
      <c r="K14" s="16">
        <v>4901.0066299999999</v>
      </c>
      <c r="L14" s="16">
        <v>1239.505218</v>
      </c>
      <c r="M14" s="16">
        <v>2481.7621640000002</v>
      </c>
      <c r="N14" s="16">
        <f t="shared" si="5"/>
        <v>8622.2740119999999</v>
      </c>
      <c r="O14" s="16">
        <f t="shared" si="1"/>
        <v>148183.32101100005</v>
      </c>
      <c r="P14" s="113">
        <v>140533.68227059121</v>
      </c>
      <c r="Q14" s="113"/>
      <c r="R14" s="113">
        <v>1063.4218760000001</v>
      </c>
      <c r="S14" s="113">
        <v>2511.0426309999998</v>
      </c>
      <c r="T14" s="113">
        <v>4859.8062384087971</v>
      </c>
      <c r="U14" s="113">
        <v>900.97380280988398</v>
      </c>
      <c r="V14" s="113">
        <f t="shared" si="7"/>
        <v>149868.92681880988</v>
      </c>
      <c r="W14" s="113">
        <v>5048.0368289999997</v>
      </c>
      <c r="X14" s="113">
        <v>2482.6439999999998</v>
      </c>
      <c r="Y14" s="113">
        <v>2534.1118755697566</v>
      </c>
      <c r="Z14" s="113">
        <v>5686.5427019999997</v>
      </c>
      <c r="AA14" s="113">
        <v>0</v>
      </c>
      <c r="AB14" s="113">
        <f t="shared" si="8"/>
        <v>15751.335406569757</v>
      </c>
      <c r="AC14" s="113">
        <f t="shared" si="9"/>
        <v>165620.26222537964</v>
      </c>
      <c r="AD14" s="113">
        <v>145873.96219653168</v>
      </c>
      <c r="AE14" s="113">
        <v>5044.4788754683314</v>
      </c>
      <c r="AF14" s="113">
        <v>0</v>
      </c>
      <c r="AG14" s="113">
        <v>1465.520726</v>
      </c>
      <c r="AH14" s="113">
        <v>2539.461018</v>
      </c>
      <c r="AI14" s="113">
        <v>5182.3662979999999</v>
      </c>
      <c r="AJ14" s="113">
        <v>1307.7842330000001</v>
      </c>
      <c r="AK14" s="113">
        <f t="shared" si="10"/>
        <v>161413.57334700003</v>
      </c>
      <c r="AL14" s="119">
        <v>5219.6700810000002</v>
      </c>
      <c r="AM14" s="119">
        <v>5191.7604899999997</v>
      </c>
      <c r="AN14" s="113">
        <v>5184.7952919999998</v>
      </c>
      <c r="AO14" s="113">
        <v>3710.7878609999998</v>
      </c>
      <c r="AP14" s="113">
        <v>0</v>
      </c>
      <c r="AQ14" s="113">
        <f t="shared" si="11"/>
        <v>19307.013724</v>
      </c>
      <c r="AR14" s="113">
        <f t="shared" si="12"/>
        <v>180720.58707100002</v>
      </c>
      <c r="AS14" s="113">
        <v>148222.53298823882</v>
      </c>
      <c r="AT14" s="113">
        <v>5125.6949853633714</v>
      </c>
      <c r="AU14" s="113">
        <v>5265.8023953978</v>
      </c>
      <c r="AV14" s="5"/>
      <c r="AW14" s="113">
        <v>5127.9619990000001</v>
      </c>
      <c r="AX14" s="113">
        <v>6213.9717440000004</v>
      </c>
      <c r="AY14" s="113">
        <v>657.56586600000003</v>
      </c>
      <c r="AZ14" s="113">
        <f t="shared" si="13"/>
        <v>170613.52997799998</v>
      </c>
      <c r="BA14" s="113">
        <v>5381.4798540000002</v>
      </c>
      <c r="BB14" s="113">
        <v>5511.3334349999996</v>
      </c>
      <c r="BC14" s="113">
        <v>6571.5996139999997</v>
      </c>
      <c r="BD14" s="113">
        <v>2641.4312810000001</v>
      </c>
      <c r="BE14" s="5">
        <v>0</v>
      </c>
      <c r="BF14" s="113">
        <f t="shared" si="14"/>
        <v>20105.844184000001</v>
      </c>
      <c r="BG14" s="113">
        <f t="shared" si="15"/>
        <v>190719.37416199996</v>
      </c>
      <c r="BH14" s="125"/>
      <c r="BK14" s="122"/>
    </row>
    <row r="15" spans="2:63" ht="12.75" customHeight="1" x14ac:dyDescent="0.2">
      <c r="B15" s="18">
        <v>1113</v>
      </c>
      <c r="C15" s="107" t="s">
        <v>265</v>
      </c>
      <c r="D15" s="16">
        <v>88353.885381999993</v>
      </c>
      <c r="E15" s="16">
        <v>39648.060472999998</v>
      </c>
      <c r="F15" s="16">
        <v>383.08954199999999</v>
      </c>
      <c r="G15" s="16">
        <v>419.57783999999998</v>
      </c>
      <c r="H15" s="16">
        <v>695.98333200000002</v>
      </c>
      <c r="I15" s="16">
        <v>2627.25</v>
      </c>
      <c r="J15" s="16">
        <f t="shared" si="6"/>
        <v>132127.84656899999</v>
      </c>
      <c r="K15" s="16">
        <v>1826.982941</v>
      </c>
      <c r="L15" s="16">
        <v>257.07657499999999</v>
      </c>
      <c r="M15" s="16">
        <v>1772.2925720000001</v>
      </c>
      <c r="N15" s="16">
        <f t="shared" si="5"/>
        <v>3856.3520879999996</v>
      </c>
      <c r="O15" s="16">
        <f t="shared" si="1"/>
        <v>135984.19865699997</v>
      </c>
      <c r="P15" s="113">
        <v>94592.443683176331</v>
      </c>
      <c r="Q15" s="113">
        <v>41233.982892</v>
      </c>
      <c r="R15" s="113">
        <v>827.68581900000004</v>
      </c>
      <c r="S15" s="113">
        <v>411.43083100000001</v>
      </c>
      <c r="T15" s="113">
        <v>3428.5355548236735</v>
      </c>
      <c r="U15" s="113">
        <v>878.03556540097088</v>
      </c>
      <c r="V15" s="113">
        <f t="shared" si="7"/>
        <v>141372.11434540097</v>
      </c>
      <c r="W15" s="113">
        <v>1881.7924290000001</v>
      </c>
      <c r="X15" s="113">
        <v>592.09157800000003</v>
      </c>
      <c r="Y15" s="113">
        <v>2194.5965459962645</v>
      </c>
      <c r="Z15" s="113">
        <v>4711.9771469999996</v>
      </c>
      <c r="AA15" s="113">
        <v>0</v>
      </c>
      <c r="AB15" s="113">
        <f t="shared" si="8"/>
        <v>9380.4576999962646</v>
      </c>
      <c r="AC15" s="113">
        <f t="shared" si="9"/>
        <v>150752.57204539725</v>
      </c>
      <c r="AD15" s="113">
        <v>98186.956543093038</v>
      </c>
      <c r="AE15" s="113">
        <v>3558.819905906973</v>
      </c>
      <c r="AF15" s="113">
        <v>42761.718478000003</v>
      </c>
      <c r="AG15" s="113">
        <v>1335.545787</v>
      </c>
      <c r="AH15" s="113">
        <v>251.71326999999999</v>
      </c>
      <c r="AI15" s="113">
        <v>3881.923378</v>
      </c>
      <c r="AJ15" s="113">
        <v>1069.462037</v>
      </c>
      <c r="AK15" s="113">
        <f t="shared" si="10"/>
        <v>151046.13939900004</v>
      </c>
      <c r="AL15" s="119">
        <v>1945.7733720000001</v>
      </c>
      <c r="AM15" s="119">
        <v>1177.0038140000001</v>
      </c>
      <c r="AN15" s="113">
        <v>4335.9385220000004</v>
      </c>
      <c r="AO15" s="113">
        <v>3218.4756080000002</v>
      </c>
      <c r="AP15" s="113">
        <v>0</v>
      </c>
      <c r="AQ15" s="113">
        <f t="shared" si="11"/>
        <v>10677.191316</v>
      </c>
      <c r="AR15" s="113">
        <f t="shared" si="12"/>
        <v>161723.33071500005</v>
      </c>
      <c r="AS15" s="113">
        <v>99767.766543222111</v>
      </c>
      <c r="AT15" s="113">
        <v>3616.1169063920752</v>
      </c>
      <c r="AU15" s="113">
        <v>3944.4223443858</v>
      </c>
      <c r="AV15" s="113">
        <v>43450.182144999999</v>
      </c>
      <c r="AW15" s="113">
        <v>820.44490499999995</v>
      </c>
      <c r="AX15" s="113">
        <v>4881.7339670000001</v>
      </c>
      <c r="AY15" s="113">
        <v>581.39592600000003</v>
      </c>
      <c r="AZ15" s="113">
        <f t="shared" si="13"/>
        <v>157062.06273700003</v>
      </c>
      <c r="BA15" s="113">
        <v>2006.092347</v>
      </c>
      <c r="BB15" s="113">
        <v>1592.543572</v>
      </c>
      <c r="BC15" s="113">
        <v>6174.2276259999999</v>
      </c>
      <c r="BD15" s="113">
        <v>2261.0178890000002</v>
      </c>
      <c r="BE15" s="5">
        <v>0</v>
      </c>
      <c r="BF15" s="113">
        <f t="shared" si="14"/>
        <v>12033.881434000001</v>
      </c>
      <c r="BG15" s="113">
        <f t="shared" si="15"/>
        <v>169095.94417100004</v>
      </c>
      <c r="BH15" s="124"/>
      <c r="BK15" s="122"/>
    </row>
    <row r="16" spans="2:63" ht="12.75" customHeight="1" x14ac:dyDescent="0.2">
      <c r="B16" s="18">
        <v>1118</v>
      </c>
      <c r="C16" s="107" t="s">
        <v>266</v>
      </c>
      <c r="D16" s="16">
        <v>50906.977780000001</v>
      </c>
      <c r="E16" s="16">
        <v>3448.7453099999998</v>
      </c>
      <c r="F16" s="16">
        <v>415.01729</v>
      </c>
      <c r="G16" s="16">
        <v>551.72359500000005</v>
      </c>
      <c r="H16" s="16">
        <v>587.04751699999997</v>
      </c>
      <c r="I16" s="16"/>
      <c r="J16" s="16">
        <f t="shared" si="6"/>
        <v>55909.511492000005</v>
      </c>
      <c r="K16" s="16">
        <v>830.44730900000002</v>
      </c>
      <c r="L16" s="16">
        <v>441.66510199999999</v>
      </c>
      <c r="M16" s="16">
        <v>1453.3939760000001</v>
      </c>
      <c r="N16" s="16">
        <f t="shared" si="5"/>
        <v>2725.5063870000004</v>
      </c>
      <c r="O16" s="16">
        <f t="shared" si="1"/>
        <v>58635.017879000006</v>
      </c>
      <c r="P16" s="113">
        <v>53131.53097340207</v>
      </c>
      <c r="Q16" s="113">
        <v>4596.8960939999997</v>
      </c>
      <c r="R16" s="113">
        <v>790.12772099999995</v>
      </c>
      <c r="S16" s="113">
        <v>341.55267400000002</v>
      </c>
      <c r="T16" s="113">
        <v>1769.6772245979296</v>
      </c>
      <c r="U16" s="113">
        <v>486.26265178179864</v>
      </c>
      <c r="V16" s="113">
        <f t="shared" si="7"/>
        <v>61116.047338781791</v>
      </c>
      <c r="W16" s="113">
        <v>855.36072799999999</v>
      </c>
      <c r="X16" s="113">
        <v>406.63324299999999</v>
      </c>
      <c r="Y16" s="113">
        <v>1809.2785794708896</v>
      </c>
      <c r="Z16" s="113">
        <v>4541.5794169999999</v>
      </c>
      <c r="AA16" s="113">
        <v>0</v>
      </c>
      <c r="AB16" s="113">
        <f t="shared" si="8"/>
        <v>7612.8519674708896</v>
      </c>
      <c r="AC16" s="113">
        <f t="shared" si="9"/>
        <v>68728.899306252686</v>
      </c>
      <c r="AD16" s="113">
        <v>55150.529150867354</v>
      </c>
      <c r="AE16" s="113">
        <v>1836.9249591326509</v>
      </c>
      <c r="AF16" s="113">
        <v>3694.448648</v>
      </c>
      <c r="AG16" s="113">
        <v>1126.8209870000001</v>
      </c>
      <c r="AH16" s="113">
        <v>207.084801</v>
      </c>
      <c r="AI16" s="113">
        <v>2864.8897390000002</v>
      </c>
      <c r="AJ16" s="113">
        <v>892.55099499999994</v>
      </c>
      <c r="AK16" s="113">
        <f t="shared" si="10"/>
        <v>65773.249280000004</v>
      </c>
      <c r="AL16" s="119">
        <v>884.442993</v>
      </c>
      <c r="AM16" s="119">
        <v>890.35528699999998</v>
      </c>
      <c r="AN16" s="113">
        <v>3251.1602210000001</v>
      </c>
      <c r="AO16" s="113">
        <v>2760.3910799999999</v>
      </c>
      <c r="AP16" s="113">
        <v>0</v>
      </c>
      <c r="AQ16" s="113">
        <f t="shared" si="11"/>
        <v>7786.3495810000004</v>
      </c>
      <c r="AR16" s="113">
        <f t="shared" si="12"/>
        <v>73559.598861000006</v>
      </c>
      <c r="AS16" s="113">
        <v>56038.452670227409</v>
      </c>
      <c r="AT16" s="113">
        <v>1866.4994509746866</v>
      </c>
      <c r="AU16" s="113">
        <v>2911.0144637979001</v>
      </c>
      <c r="AV16" s="113">
        <v>4364.0251740000003</v>
      </c>
      <c r="AW16" s="113">
        <v>529.33716764999997</v>
      </c>
      <c r="AX16" s="113">
        <v>3594.639592</v>
      </c>
      <c r="AY16" s="113">
        <v>485.43578100000002</v>
      </c>
      <c r="AZ16" s="113">
        <f t="shared" si="13"/>
        <v>69789.404299649992</v>
      </c>
      <c r="BA16" s="113">
        <v>911.860726</v>
      </c>
      <c r="BB16" s="113">
        <v>773.40136100000007</v>
      </c>
      <c r="BC16" s="113">
        <v>4403.4361550000003</v>
      </c>
      <c r="BD16" s="113">
        <v>1878.403656</v>
      </c>
      <c r="BE16" s="5">
        <v>0</v>
      </c>
      <c r="BF16" s="113">
        <f t="shared" si="14"/>
        <v>7967.1018980000008</v>
      </c>
      <c r="BG16" s="113">
        <f t="shared" si="15"/>
        <v>77756.506197649986</v>
      </c>
      <c r="BH16" s="122"/>
      <c r="BK16" s="122"/>
    </row>
    <row r="17" spans="2:63" s="11" customFormat="1" ht="12.75" customHeight="1" x14ac:dyDescent="0.2">
      <c r="B17" s="18">
        <v>1119</v>
      </c>
      <c r="C17" s="108" t="s">
        <v>267</v>
      </c>
      <c r="D17" s="16">
        <v>33158.646628000002</v>
      </c>
      <c r="E17" s="16"/>
      <c r="F17" s="16">
        <v>582.22526700000003</v>
      </c>
      <c r="G17" s="16">
        <v>97.786921000000007</v>
      </c>
      <c r="H17" s="16">
        <v>639.14167799999996</v>
      </c>
      <c r="I17" s="16"/>
      <c r="J17" s="16">
        <f t="shared" si="6"/>
        <v>34477.800494000003</v>
      </c>
      <c r="K17" s="16">
        <v>1361.454483</v>
      </c>
      <c r="L17" s="16">
        <v>259.164986</v>
      </c>
      <c r="M17" s="16">
        <v>2222.6324140000002</v>
      </c>
      <c r="N17" s="16">
        <f t="shared" si="5"/>
        <v>3843.2518829999999</v>
      </c>
      <c r="O17" s="16">
        <f t="shared" si="1"/>
        <v>38321.052377</v>
      </c>
      <c r="P17" s="113">
        <v>34872.555133085865</v>
      </c>
      <c r="Q17" s="113"/>
      <c r="R17" s="113">
        <v>817.22889799999996</v>
      </c>
      <c r="S17" s="113">
        <v>146.278605</v>
      </c>
      <c r="T17" s="113">
        <v>1331.0397499141347</v>
      </c>
      <c r="U17" s="113">
        <v>783.158689127701</v>
      </c>
      <c r="V17" s="113">
        <f t="shared" si="7"/>
        <v>37950.261075127702</v>
      </c>
      <c r="W17" s="113">
        <v>1402.298117</v>
      </c>
      <c r="X17" s="113">
        <v>260.60837299999997</v>
      </c>
      <c r="Y17" s="113">
        <v>2558.6046003320507</v>
      </c>
      <c r="Z17" s="113">
        <v>3936.1094240000002</v>
      </c>
      <c r="AA17" s="113">
        <v>0</v>
      </c>
      <c r="AB17" s="113">
        <f t="shared" si="8"/>
        <v>8157.6205143320512</v>
      </c>
      <c r="AC17" s="113">
        <f t="shared" si="9"/>
        <v>46107.88158945975</v>
      </c>
      <c r="AD17" s="113">
        <v>36197.712228589131</v>
      </c>
      <c r="AE17" s="113">
        <v>1381.6192604108719</v>
      </c>
      <c r="AF17" s="113">
        <v>0</v>
      </c>
      <c r="AG17" s="113">
        <v>1129.217089</v>
      </c>
      <c r="AH17" s="113">
        <v>173.13502800000001</v>
      </c>
      <c r="AI17" s="113">
        <v>2394.4988739999999</v>
      </c>
      <c r="AJ17" s="113">
        <v>1145.512309</v>
      </c>
      <c r="AK17" s="113">
        <f t="shared" si="10"/>
        <v>42421.694788999994</v>
      </c>
      <c r="AL17" s="119">
        <v>1449.976253</v>
      </c>
      <c r="AM17" s="119">
        <v>661.42850599999997</v>
      </c>
      <c r="AN17" s="113">
        <v>4156.3009380000003</v>
      </c>
      <c r="AO17" s="113">
        <v>2592.610475</v>
      </c>
      <c r="AP17" s="113">
        <v>0</v>
      </c>
      <c r="AQ17" s="113">
        <f t="shared" si="11"/>
        <v>8860.3161720000007</v>
      </c>
      <c r="AR17" s="113">
        <f t="shared" si="12"/>
        <v>51282.010960999993</v>
      </c>
      <c r="AS17" s="113">
        <v>36780.495395625112</v>
      </c>
      <c r="AT17" s="113">
        <v>1403.8633305034868</v>
      </c>
      <c r="AU17" s="113">
        <v>2433.0503058713998</v>
      </c>
      <c r="AV17" s="5"/>
      <c r="AW17" s="113">
        <v>90.131134000000003</v>
      </c>
      <c r="AX17" s="113">
        <v>3027.225801</v>
      </c>
      <c r="AY17" s="113">
        <v>566.94060500000001</v>
      </c>
      <c r="AZ17" s="113">
        <f t="shared" si="13"/>
        <v>44301.70657200001</v>
      </c>
      <c r="BA17" s="113">
        <v>1494.9255169999999</v>
      </c>
      <c r="BB17" s="113">
        <v>756.89081699999997</v>
      </c>
      <c r="BC17" s="113">
        <v>5113.8090819999998</v>
      </c>
      <c r="BD17" s="113">
        <v>1628.5943910000001</v>
      </c>
      <c r="BE17" s="5">
        <v>0</v>
      </c>
      <c r="BF17" s="113">
        <f t="shared" si="14"/>
        <v>8994.2198069999995</v>
      </c>
      <c r="BG17" s="113">
        <f t="shared" si="15"/>
        <v>53295.926379000011</v>
      </c>
      <c r="BH17" s="122"/>
      <c r="BI17" s="2"/>
      <c r="BJ17" s="2"/>
      <c r="BK17" s="122"/>
    </row>
    <row r="18" spans="2:63" ht="12.75" customHeight="1" x14ac:dyDescent="0.2">
      <c r="B18" s="18">
        <v>1111</v>
      </c>
      <c r="C18" s="107" t="s">
        <v>268</v>
      </c>
      <c r="D18" s="16">
        <v>104950.27281900001</v>
      </c>
      <c r="E18" s="16">
        <v>1792.6389380000001</v>
      </c>
      <c r="F18" s="16">
        <v>718.56967799999995</v>
      </c>
      <c r="G18" s="16">
        <v>1058.7052880000001</v>
      </c>
      <c r="H18" s="16">
        <v>1106.5334600000001</v>
      </c>
      <c r="I18" s="16">
        <v>2627.5</v>
      </c>
      <c r="J18" s="16">
        <f t="shared" si="6"/>
        <v>112254.22018300001</v>
      </c>
      <c r="K18" s="16">
        <v>3142.0899180000001</v>
      </c>
      <c r="L18" s="16">
        <v>836.03781500000002</v>
      </c>
      <c r="M18" s="16">
        <v>2625.8541580000001</v>
      </c>
      <c r="N18" s="16">
        <f t="shared" si="5"/>
        <v>6603.9818910000004</v>
      </c>
      <c r="O18" s="16">
        <f t="shared" si="1"/>
        <v>118858.20207400002</v>
      </c>
      <c r="P18" s="113">
        <v>112140.45808244134</v>
      </c>
      <c r="Q18" s="113">
        <v>1864.3444950000001</v>
      </c>
      <c r="R18" s="113">
        <v>1049.6831299999999</v>
      </c>
      <c r="S18" s="113">
        <v>1117.435125</v>
      </c>
      <c r="T18" s="113">
        <v>3572.8877825586578</v>
      </c>
      <c r="U18" s="113">
        <v>921.97212391541359</v>
      </c>
      <c r="V18" s="113">
        <f t="shared" si="7"/>
        <v>120666.78073891542</v>
      </c>
      <c r="W18" s="113">
        <v>3236.3526160000001</v>
      </c>
      <c r="X18" s="113">
        <v>1050.0520329999999</v>
      </c>
      <c r="Y18" s="113">
        <v>2335.224963601569</v>
      </c>
      <c r="Z18" s="113">
        <v>6808.9800100000002</v>
      </c>
      <c r="AA18" s="113">
        <v>0</v>
      </c>
      <c r="AB18" s="113">
        <f t="shared" si="8"/>
        <v>13430.609622601569</v>
      </c>
      <c r="AC18" s="113">
        <f t="shared" si="9"/>
        <v>134097.390361517</v>
      </c>
      <c r="AD18" s="113">
        <v>116401.79548970412</v>
      </c>
      <c r="AE18" s="113">
        <v>3708.6575182958868</v>
      </c>
      <c r="AF18" s="113">
        <v>1933.4192049999999</v>
      </c>
      <c r="AG18" s="113">
        <v>1441.1431869999999</v>
      </c>
      <c r="AH18" s="113">
        <v>1323.472798</v>
      </c>
      <c r="AI18" s="113">
        <v>4371.317704</v>
      </c>
      <c r="AJ18" s="113">
        <v>1189.717537</v>
      </c>
      <c r="AK18" s="113">
        <f t="shared" si="10"/>
        <v>130369.52343900001</v>
      </c>
      <c r="AL18" s="119">
        <v>3346.3886040000002</v>
      </c>
      <c r="AM18" s="119">
        <v>2212.9170770000001</v>
      </c>
      <c r="AN18" s="113">
        <v>4936.6458670000002</v>
      </c>
      <c r="AO18" s="113">
        <v>4234.0190599999996</v>
      </c>
      <c r="AP18" s="113">
        <v>0</v>
      </c>
      <c r="AQ18" s="113">
        <f t="shared" si="11"/>
        <v>14729.970608</v>
      </c>
      <c r="AR18" s="113">
        <f t="shared" si="12"/>
        <v>145099.49404700001</v>
      </c>
      <c r="AS18" s="113">
        <v>118275.86439662514</v>
      </c>
      <c r="AT18" s="113">
        <v>3768.3669043404507</v>
      </c>
      <c r="AU18" s="113">
        <v>4441.6959190344005</v>
      </c>
      <c r="AV18" s="113">
        <v>1964.5472540000001</v>
      </c>
      <c r="AW18" s="113">
        <v>2024.2828010000001</v>
      </c>
      <c r="AX18" s="113">
        <v>5243.2605119999998</v>
      </c>
      <c r="AY18" s="113">
        <v>562.35237299999994</v>
      </c>
      <c r="AZ18" s="113">
        <f t="shared" si="13"/>
        <v>136280.37015999999</v>
      </c>
      <c r="BA18" s="113">
        <v>3450.126651</v>
      </c>
      <c r="BB18" s="113">
        <v>2676.8287020000002</v>
      </c>
      <c r="BC18" s="113">
        <v>5729.7814060000001</v>
      </c>
      <c r="BD18" s="113">
        <v>2961.5255360000001</v>
      </c>
      <c r="BE18" s="5">
        <v>0</v>
      </c>
      <c r="BF18" s="113">
        <f t="shared" si="14"/>
        <v>14818.262295</v>
      </c>
      <c r="BG18" s="113">
        <f t="shared" si="15"/>
        <v>151098.63245499998</v>
      </c>
      <c r="BH18" s="122"/>
      <c r="BK18" s="122"/>
    </row>
    <row r="19" spans="2:63" ht="12.75" customHeight="1" x14ac:dyDescent="0.2">
      <c r="B19" s="18">
        <v>1120</v>
      </c>
      <c r="C19" s="107" t="s">
        <v>269</v>
      </c>
      <c r="D19" s="16">
        <v>34418.662576000002</v>
      </c>
      <c r="E19" s="16"/>
      <c r="F19" s="16">
        <v>507.54537900000003</v>
      </c>
      <c r="G19" s="16">
        <v>244.005379</v>
      </c>
      <c r="H19" s="16">
        <v>599.47543099999996</v>
      </c>
      <c r="I19" s="16"/>
      <c r="J19" s="16">
        <f t="shared" si="6"/>
        <v>35769.688765000006</v>
      </c>
      <c r="K19" s="16">
        <v>966.61672999999996</v>
      </c>
      <c r="L19" s="16">
        <v>504.99109299999998</v>
      </c>
      <c r="M19" s="16">
        <v>2183.8701900000001</v>
      </c>
      <c r="N19" s="16">
        <f t="shared" si="5"/>
        <v>3655.4780129999999</v>
      </c>
      <c r="O19" s="16">
        <f t="shared" si="1"/>
        <v>39425.166778000006</v>
      </c>
      <c r="P19" s="113">
        <v>36131.711851443186</v>
      </c>
      <c r="Q19" s="113"/>
      <c r="R19" s="113">
        <v>856.629594</v>
      </c>
      <c r="S19" s="113">
        <v>408.20901199999997</v>
      </c>
      <c r="T19" s="113">
        <v>1637.8183255568147</v>
      </c>
      <c r="U19" s="113">
        <v>503.62427751610028</v>
      </c>
      <c r="V19" s="113">
        <f t="shared" si="7"/>
        <v>39537.993060516099</v>
      </c>
      <c r="W19" s="113">
        <v>995.61523199999999</v>
      </c>
      <c r="X19" s="113">
        <v>840.16099499999996</v>
      </c>
      <c r="Y19" s="113">
        <v>2206.1037087057175</v>
      </c>
      <c r="Z19" s="113">
        <v>3322.4238770000002</v>
      </c>
      <c r="AA19" s="113">
        <v>0</v>
      </c>
      <c r="AB19" s="113">
        <f t="shared" si="8"/>
        <v>7364.3038127057171</v>
      </c>
      <c r="AC19" s="113">
        <f t="shared" si="9"/>
        <v>46902.296873221814</v>
      </c>
      <c r="AD19" s="113">
        <v>37504.716902072032</v>
      </c>
      <c r="AE19" s="113">
        <v>1700.0554219279736</v>
      </c>
      <c r="AF19" s="113"/>
      <c r="AG19" s="113">
        <v>1190.0400059999999</v>
      </c>
      <c r="AH19" s="113">
        <v>482.593932</v>
      </c>
      <c r="AI19" s="113">
        <v>2462.6128229999999</v>
      </c>
      <c r="AJ19" s="113">
        <v>1036.7445299999999</v>
      </c>
      <c r="AK19" s="113">
        <f t="shared" si="10"/>
        <v>44376.763615000018</v>
      </c>
      <c r="AL19" s="119">
        <v>1029.46615</v>
      </c>
      <c r="AM19" s="119">
        <v>1922.2746649999999</v>
      </c>
      <c r="AN19" s="113">
        <v>3509.2687120000001</v>
      </c>
      <c r="AO19" s="113">
        <v>2259.6708910000002</v>
      </c>
      <c r="AP19" s="113">
        <v>0</v>
      </c>
      <c r="AQ19" s="113">
        <f t="shared" si="11"/>
        <v>8720.6804179999999</v>
      </c>
      <c r="AR19" s="113">
        <f t="shared" si="12"/>
        <v>53097.444033000022</v>
      </c>
      <c r="AS19" s="113">
        <v>38108.542844328687</v>
      </c>
      <c r="AT19" s="113">
        <v>1727.4263142210141</v>
      </c>
      <c r="AU19" s="113">
        <v>2502.2608894503001</v>
      </c>
      <c r="AV19" s="5"/>
      <c r="AW19" s="113">
        <v>712.81794300000001</v>
      </c>
      <c r="AX19" s="113">
        <v>3259.4240690000001</v>
      </c>
      <c r="AY19" s="113">
        <v>585.47517900000003</v>
      </c>
      <c r="AZ19" s="113">
        <f t="shared" si="13"/>
        <v>46895.947239000001</v>
      </c>
      <c r="BA19" s="113">
        <v>1061.3796010000001</v>
      </c>
      <c r="BB19" s="113">
        <v>2599.2685820000002</v>
      </c>
      <c r="BC19" s="113">
        <v>5386.9565270000003</v>
      </c>
      <c r="BD19" s="113">
        <v>1600.87862</v>
      </c>
      <c r="BE19" s="5">
        <v>0</v>
      </c>
      <c r="BF19" s="113">
        <f t="shared" si="14"/>
        <v>10648.483329999999</v>
      </c>
      <c r="BG19" s="113">
        <f t="shared" si="15"/>
        <v>57544.430569000004</v>
      </c>
      <c r="BH19" s="122"/>
      <c r="BK19" s="122"/>
    </row>
    <row r="20" spans="2:63" ht="12.75" customHeight="1" x14ac:dyDescent="0.2">
      <c r="B20" s="18">
        <v>1114</v>
      </c>
      <c r="C20" s="107" t="s">
        <v>270</v>
      </c>
      <c r="D20" s="16">
        <v>58582.133601000001</v>
      </c>
      <c r="E20" s="16"/>
      <c r="F20" s="16">
        <v>599.56357700000001</v>
      </c>
      <c r="G20" s="16">
        <v>678.16923699999995</v>
      </c>
      <c r="H20" s="16">
        <v>748.91148999999996</v>
      </c>
      <c r="I20" s="16"/>
      <c r="J20" s="16">
        <f t="shared" si="6"/>
        <v>60608.777905000003</v>
      </c>
      <c r="K20" s="16">
        <v>2882.9229110000001</v>
      </c>
      <c r="L20" s="16">
        <v>389.79168399999998</v>
      </c>
      <c r="M20" s="16">
        <v>2067.44571</v>
      </c>
      <c r="N20" s="16">
        <f t="shared" si="5"/>
        <v>5340.1603049999994</v>
      </c>
      <c r="O20" s="16">
        <f t="shared" si="1"/>
        <v>65948.938210000008</v>
      </c>
      <c r="P20" s="113">
        <v>61217.767337854195</v>
      </c>
      <c r="Q20" s="113"/>
      <c r="R20" s="113">
        <v>980.87548200000003</v>
      </c>
      <c r="S20" s="113">
        <v>819.511033</v>
      </c>
      <c r="T20" s="113">
        <v>2177.0101011458009</v>
      </c>
      <c r="U20" s="113">
        <v>800.45034996877189</v>
      </c>
      <c r="V20" s="113">
        <f t="shared" si="7"/>
        <v>65995.614303968774</v>
      </c>
      <c r="W20" s="113">
        <v>2969.4105979999999</v>
      </c>
      <c r="X20" s="113">
        <v>452.624167</v>
      </c>
      <c r="Y20" s="113">
        <v>2311.8161438380921</v>
      </c>
      <c r="Z20" s="113">
        <v>4234.1561709999996</v>
      </c>
      <c r="AA20" s="113">
        <v>0</v>
      </c>
      <c r="AB20" s="113">
        <f t="shared" si="8"/>
        <v>9968.0070798380912</v>
      </c>
      <c r="AC20" s="113">
        <f t="shared" si="9"/>
        <v>75963.621383806865</v>
      </c>
      <c r="AD20" s="113">
        <v>63544.042497010661</v>
      </c>
      <c r="AE20" s="113">
        <v>2259.7364849893415</v>
      </c>
      <c r="AF20" s="113"/>
      <c r="AG20" s="113">
        <v>1306.4923980000001</v>
      </c>
      <c r="AH20" s="113">
        <v>855.59387000000004</v>
      </c>
      <c r="AI20" s="113">
        <v>3037.273044</v>
      </c>
      <c r="AJ20" s="113">
        <v>1144.966962</v>
      </c>
      <c r="AK20" s="113">
        <f t="shared" si="10"/>
        <v>72148.10525600001</v>
      </c>
      <c r="AL20" s="119">
        <v>3070.370559</v>
      </c>
      <c r="AM20" s="119">
        <v>1498.5892550000001</v>
      </c>
      <c r="AN20" s="113">
        <v>4796.0634389999996</v>
      </c>
      <c r="AO20" s="113">
        <v>2774.7180549999998</v>
      </c>
      <c r="AP20" s="113">
        <v>0</v>
      </c>
      <c r="AQ20" s="113">
        <f t="shared" si="11"/>
        <v>12139.741307999999</v>
      </c>
      <c r="AR20" s="113">
        <f t="shared" si="12"/>
        <v>84287.846564000007</v>
      </c>
      <c r="AS20" s="113">
        <v>64567.101581593924</v>
      </c>
      <c r="AT20" s="113">
        <v>2296.1182423976697</v>
      </c>
      <c r="AU20" s="113">
        <v>3086.1731400084</v>
      </c>
      <c r="AV20" s="5"/>
      <c r="AW20" s="113">
        <v>1384.72686</v>
      </c>
      <c r="AX20" s="113">
        <v>3700.4222289999998</v>
      </c>
      <c r="AY20" s="113">
        <v>561.29643999999996</v>
      </c>
      <c r="AZ20" s="113">
        <f t="shared" si="13"/>
        <v>75595.838492999988</v>
      </c>
      <c r="BA20" s="113">
        <v>3165.5520459999998</v>
      </c>
      <c r="BB20" s="113">
        <v>1531.3167469999999</v>
      </c>
      <c r="BC20" s="113">
        <v>5871.0797549999997</v>
      </c>
      <c r="BD20" s="113">
        <v>1948.1578500000001</v>
      </c>
      <c r="BE20" s="5">
        <v>0</v>
      </c>
      <c r="BF20" s="113">
        <f t="shared" si="14"/>
        <v>12516.106398</v>
      </c>
      <c r="BG20" s="113">
        <f t="shared" si="15"/>
        <v>88111.944890999992</v>
      </c>
      <c r="BH20" s="122"/>
      <c r="BK20" s="122"/>
    </row>
    <row r="21" spans="2:63" s="11" customFormat="1" ht="12.75" customHeight="1" x14ac:dyDescent="0.2">
      <c r="B21" s="18">
        <v>1115</v>
      </c>
      <c r="C21" s="108" t="s">
        <v>271</v>
      </c>
      <c r="D21" s="16">
        <v>30971.697737999999</v>
      </c>
      <c r="E21" s="16"/>
      <c r="F21" s="16">
        <v>479.32309199999997</v>
      </c>
      <c r="G21" s="16">
        <v>413.25791199999998</v>
      </c>
      <c r="H21" s="16">
        <v>584.55271400000004</v>
      </c>
      <c r="I21" s="16"/>
      <c r="J21" s="16">
        <f t="shared" si="6"/>
        <v>32448.831456</v>
      </c>
      <c r="K21" s="16">
        <v>1053.4946440000001</v>
      </c>
      <c r="L21" s="16">
        <v>306.32263899999998</v>
      </c>
      <c r="M21" s="16">
        <v>1937.2213850000001</v>
      </c>
      <c r="N21" s="16">
        <f t="shared" si="5"/>
        <v>3297.0386680000001</v>
      </c>
      <c r="O21" s="16">
        <f t="shared" si="1"/>
        <v>35745.870124000001</v>
      </c>
      <c r="P21" s="113">
        <v>32559.736564487102</v>
      </c>
      <c r="Q21" s="113"/>
      <c r="R21" s="113">
        <v>790.45493199999999</v>
      </c>
      <c r="S21" s="113">
        <v>489.40508799999998</v>
      </c>
      <c r="T21" s="113">
        <v>1519.026626512896</v>
      </c>
      <c r="U21" s="113">
        <v>731.55482479576324</v>
      </c>
      <c r="V21" s="113">
        <f t="shared" si="7"/>
        <v>36090.178035795761</v>
      </c>
      <c r="W21" s="113">
        <v>1085.099483</v>
      </c>
      <c r="X21" s="113">
        <v>369.014995</v>
      </c>
      <c r="Y21" s="113">
        <v>2169.8064151759991</v>
      </c>
      <c r="Z21" s="113">
        <v>3931.3785229999999</v>
      </c>
      <c r="AA21" s="113">
        <v>0</v>
      </c>
      <c r="AB21" s="113">
        <f t="shared" si="8"/>
        <v>7555.2994161759989</v>
      </c>
      <c r="AC21" s="113">
        <f t="shared" si="9"/>
        <v>43645.477451971761</v>
      </c>
      <c r="AD21" s="113">
        <v>33797.006553679617</v>
      </c>
      <c r="AE21" s="113">
        <v>1576.7496383203861</v>
      </c>
      <c r="AF21" s="113"/>
      <c r="AG21" s="113">
        <v>1054.3910960000001</v>
      </c>
      <c r="AH21" s="113">
        <v>577.45766200000003</v>
      </c>
      <c r="AI21" s="113">
        <v>2520.6375779999998</v>
      </c>
      <c r="AJ21" s="113">
        <v>1173.9848400000001</v>
      </c>
      <c r="AK21" s="113">
        <f t="shared" si="10"/>
        <v>40700.227368</v>
      </c>
      <c r="AL21" s="119">
        <v>1121.992866</v>
      </c>
      <c r="AM21" s="119">
        <v>984.08743099999992</v>
      </c>
      <c r="AN21" s="113">
        <v>4247.1652100000001</v>
      </c>
      <c r="AO21" s="113">
        <v>2526.594869</v>
      </c>
      <c r="AP21" s="113">
        <v>0</v>
      </c>
      <c r="AQ21" s="113">
        <f t="shared" si="11"/>
        <v>8879.8403760000001</v>
      </c>
      <c r="AR21" s="113">
        <f t="shared" si="12"/>
        <v>49580.067744</v>
      </c>
      <c r="AS21" s="113">
        <v>34341.138359496857</v>
      </c>
      <c r="AT21" s="113">
        <v>1602.1353074973442</v>
      </c>
      <c r="AU21" s="113">
        <v>2561.2198430057997</v>
      </c>
      <c r="AV21" s="5"/>
      <c r="AW21" s="113">
        <v>898.15632900000003</v>
      </c>
      <c r="AX21" s="113">
        <v>3040.2388270000001</v>
      </c>
      <c r="AY21" s="113">
        <v>547.67947100000004</v>
      </c>
      <c r="AZ21" s="113">
        <f t="shared" si="13"/>
        <v>42990.568137000002</v>
      </c>
      <c r="BA21" s="113">
        <v>1156.774645</v>
      </c>
      <c r="BB21" s="113">
        <v>1177.3739459999999</v>
      </c>
      <c r="BC21" s="113">
        <v>5049.6032169999999</v>
      </c>
      <c r="BD21" s="113">
        <v>1809.385814</v>
      </c>
      <c r="BE21" s="5">
        <v>0</v>
      </c>
      <c r="BF21" s="113">
        <f t="shared" si="14"/>
        <v>9193.1376220000002</v>
      </c>
      <c r="BG21" s="113">
        <f t="shared" si="15"/>
        <v>52183.705759000004</v>
      </c>
      <c r="BH21" s="122"/>
      <c r="BI21" s="2"/>
      <c r="BJ21" s="2"/>
      <c r="BK21" s="122"/>
    </row>
    <row r="22" spans="2:63" ht="12.75" customHeight="1" x14ac:dyDescent="0.2">
      <c r="B22" s="18">
        <v>1121</v>
      </c>
      <c r="C22" s="107" t="s">
        <v>208</v>
      </c>
      <c r="D22" s="16">
        <v>24760.817659</v>
      </c>
      <c r="E22" s="16"/>
      <c r="F22" s="16">
        <v>462.14011299999999</v>
      </c>
      <c r="G22" s="16">
        <v>468.827202</v>
      </c>
      <c r="H22" s="16">
        <v>623.77538200000004</v>
      </c>
      <c r="I22" s="16"/>
      <c r="J22" s="16">
        <f t="shared" si="6"/>
        <v>26315.560356000002</v>
      </c>
      <c r="K22" s="16">
        <v>1091.886988</v>
      </c>
      <c r="L22" s="16">
        <v>367.76232299999998</v>
      </c>
      <c r="M22" s="16">
        <v>1885.078585</v>
      </c>
      <c r="N22" s="16">
        <f t="shared" si="5"/>
        <v>3344.7278959999999</v>
      </c>
      <c r="O22" s="16">
        <f t="shared" si="1"/>
        <v>29660.288252000002</v>
      </c>
      <c r="P22" s="113">
        <v>26191.82096601669</v>
      </c>
      <c r="Q22" s="113"/>
      <c r="R22" s="113">
        <v>744.34062400000005</v>
      </c>
      <c r="S22" s="113">
        <v>506.32821200000001</v>
      </c>
      <c r="T22" s="113">
        <v>1067.143333983309</v>
      </c>
      <c r="U22" s="113">
        <v>595.2649720283797</v>
      </c>
      <c r="V22" s="113">
        <f t="shared" si="7"/>
        <v>29104.898108028381</v>
      </c>
      <c r="W22" s="113">
        <v>1124.6435980000001</v>
      </c>
      <c r="X22" s="113">
        <v>360.64688999999998</v>
      </c>
      <c r="Y22" s="113">
        <v>2139.1621962793215</v>
      </c>
      <c r="Z22" s="113">
        <v>3206.1427010000002</v>
      </c>
      <c r="AA22" s="113">
        <v>628.160302</v>
      </c>
      <c r="AB22" s="113">
        <f t="shared" si="8"/>
        <v>7458.755687279322</v>
      </c>
      <c r="AC22" s="113">
        <f t="shared" si="9"/>
        <v>36563.653795307706</v>
      </c>
      <c r="AD22" s="113">
        <v>27187.110162325327</v>
      </c>
      <c r="AE22" s="113">
        <v>1107.6947806746748</v>
      </c>
      <c r="AF22" s="113"/>
      <c r="AG22" s="113">
        <v>1013.988716</v>
      </c>
      <c r="AH22" s="113">
        <v>533.80630399999995</v>
      </c>
      <c r="AI22" s="113">
        <v>2144.4776449999999</v>
      </c>
      <c r="AJ22" s="113">
        <v>1101.7185710000001</v>
      </c>
      <c r="AK22" s="113">
        <f t="shared" si="10"/>
        <v>33088.796179000004</v>
      </c>
      <c r="AL22" s="119">
        <v>1162.88148</v>
      </c>
      <c r="AM22" s="119">
        <v>602.67287099999999</v>
      </c>
      <c r="AN22" s="113">
        <v>3828.63987</v>
      </c>
      <c r="AO22" s="113">
        <v>1771.795063</v>
      </c>
      <c r="AP22" s="113">
        <v>589.37656000000004</v>
      </c>
      <c r="AQ22" s="113">
        <f t="shared" si="11"/>
        <v>7955.365843999999</v>
      </c>
      <c r="AR22" s="113">
        <f t="shared" si="12"/>
        <v>41044.162023000004</v>
      </c>
      <c r="AS22" s="113">
        <v>27624.822636271962</v>
      </c>
      <c r="AT22" s="113">
        <v>1125.528666643537</v>
      </c>
      <c r="AU22" s="113">
        <v>2179.0037350845</v>
      </c>
      <c r="AV22" s="5"/>
      <c r="AW22" s="113">
        <v>1101.105</v>
      </c>
      <c r="AX22" s="113">
        <v>2596.612302</v>
      </c>
      <c r="AY22" s="113">
        <v>519.07086200000003</v>
      </c>
      <c r="AZ22" s="113">
        <f t="shared" si="13"/>
        <v>35146.143201999999</v>
      </c>
      <c r="BA22" s="113">
        <v>1198.9308060000001</v>
      </c>
      <c r="BB22" s="113">
        <v>996.90651000000003</v>
      </c>
      <c r="BC22" s="113">
        <v>4702.098473</v>
      </c>
      <c r="BD22" s="113">
        <v>1571.337571</v>
      </c>
      <c r="BE22" s="5">
        <v>0</v>
      </c>
      <c r="BF22" s="113">
        <f t="shared" si="14"/>
        <v>8469.2733599999992</v>
      </c>
      <c r="BG22" s="113">
        <f t="shared" si="15"/>
        <v>43615.416561999999</v>
      </c>
      <c r="BH22" s="122"/>
      <c r="BK22" s="122"/>
    </row>
    <row r="23" spans="2:63" ht="12.75" customHeight="1" x14ac:dyDescent="0.2">
      <c r="B23" s="18">
        <v>1122</v>
      </c>
      <c r="C23" s="107" t="s">
        <v>272</v>
      </c>
      <c r="D23" s="16">
        <v>18664.438073000001</v>
      </c>
      <c r="E23" s="16"/>
      <c r="F23" s="16">
        <v>452.79255799999999</v>
      </c>
      <c r="G23" s="16">
        <v>16.286569</v>
      </c>
      <c r="H23" s="16">
        <v>460.207109</v>
      </c>
      <c r="I23" s="16"/>
      <c r="J23" s="16">
        <f t="shared" si="6"/>
        <v>19593.724309000001</v>
      </c>
      <c r="K23" s="16">
        <v>470.09989899999999</v>
      </c>
      <c r="L23" s="16">
        <v>63.056517999999997</v>
      </c>
      <c r="M23" s="16">
        <v>1208.418332</v>
      </c>
      <c r="N23" s="16">
        <f t="shared" si="5"/>
        <v>1741.5747489999999</v>
      </c>
      <c r="O23" s="16">
        <f t="shared" si="1"/>
        <v>21335.299058000001</v>
      </c>
      <c r="P23" s="113">
        <v>19732.807291016728</v>
      </c>
      <c r="Q23" s="113"/>
      <c r="R23" s="113">
        <v>554.02537199999995</v>
      </c>
      <c r="S23" s="113">
        <v>17.221625</v>
      </c>
      <c r="T23" s="113">
        <v>604.04783298327175</v>
      </c>
      <c r="U23" s="113">
        <v>360.79915482333394</v>
      </c>
      <c r="V23" s="113">
        <f t="shared" si="7"/>
        <v>21268.901275823333</v>
      </c>
      <c r="W23" s="113">
        <v>484.20289600000001</v>
      </c>
      <c r="X23" s="113">
        <v>100.623887</v>
      </c>
      <c r="Y23" s="113">
        <v>1600.5072866055693</v>
      </c>
      <c r="Z23" s="113">
        <v>2047.2611899999999</v>
      </c>
      <c r="AA23" s="113">
        <v>0</v>
      </c>
      <c r="AB23" s="113">
        <f t="shared" si="8"/>
        <v>4232.5952596055695</v>
      </c>
      <c r="AC23" s="113">
        <f t="shared" si="9"/>
        <v>25501.496535428902</v>
      </c>
      <c r="AD23" s="113">
        <v>20482.653968363364</v>
      </c>
      <c r="AE23" s="113">
        <v>627.0016506366361</v>
      </c>
      <c r="AF23" s="113"/>
      <c r="AG23" s="113">
        <v>701.69291699999997</v>
      </c>
      <c r="AH23" s="113">
        <v>18.532086</v>
      </c>
      <c r="AI23" s="113">
        <v>1988.2529460000001</v>
      </c>
      <c r="AJ23" s="113">
        <v>904.29055600000004</v>
      </c>
      <c r="AK23" s="113">
        <f t="shared" si="10"/>
        <v>24722.424124000001</v>
      </c>
      <c r="AL23" s="119">
        <v>500.66579400000001</v>
      </c>
      <c r="AM23" s="119">
        <v>175.09051800000003</v>
      </c>
      <c r="AN23" s="113">
        <v>3130.7992410000002</v>
      </c>
      <c r="AO23" s="113">
        <v>1290.194782</v>
      </c>
      <c r="AP23" s="113">
        <v>0</v>
      </c>
      <c r="AQ23" s="113">
        <f t="shared" si="11"/>
        <v>5096.7503350000006</v>
      </c>
      <c r="AR23" s="113">
        <f t="shared" si="12"/>
        <v>29819.174459000002</v>
      </c>
      <c r="AS23" s="113">
        <v>20812.424697357514</v>
      </c>
      <c r="AT23" s="113">
        <v>637.09637721188597</v>
      </c>
      <c r="AU23" s="113">
        <v>2020.2638184306002</v>
      </c>
      <c r="AV23" s="5"/>
      <c r="AW23" s="113">
        <v>25.1995</v>
      </c>
      <c r="AX23" s="113">
        <v>2422.9696680000002</v>
      </c>
      <c r="AY23" s="113">
        <v>419.44453099999998</v>
      </c>
      <c r="AZ23" s="113">
        <f t="shared" si="13"/>
        <v>26337.398592000001</v>
      </c>
      <c r="BA23" s="113">
        <v>516.18643399999996</v>
      </c>
      <c r="BB23" s="113">
        <v>279.16253599999999</v>
      </c>
      <c r="BC23" s="113">
        <v>3618.79945</v>
      </c>
      <c r="BD23" s="113">
        <v>799.14158499999996</v>
      </c>
      <c r="BE23" s="5">
        <v>0</v>
      </c>
      <c r="BF23" s="113">
        <f t="shared" si="14"/>
        <v>5213.2900049999998</v>
      </c>
      <c r="BG23" s="113">
        <f t="shared" si="15"/>
        <v>31550.688597</v>
      </c>
      <c r="BH23" s="122"/>
      <c r="BK23" s="122"/>
    </row>
    <row r="24" spans="2:63" ht="12.75" customHeight="1" x14ac:dyDescent="0.2">
      <c r="B24" s="18">
        <v>1117</v>
      </c>
      <c r="C24" s="107" t="s">
        <v>273</v>
      </c>
      <c r="D24" s="16">
        <v>19283.096229999999</v>
      </c>
      <c r="E24" s="16"/>
      <c r="F24" s="16">
        <v>515.90692799999999</v>
      </c>
      <c r="G24" s="16">
        <v>5406.3437940000003</v>
      </c>
      <c r="H24" s="16">
        <v>626.97810900000002</v>
      </c>
      <c r="I24" s="16"/>
      <c r="J24" s="16">
        <f t="shared" si="6"/>
        <v>25832.325061</v>
      </c>
      <c r="K24" s="16"/>
      <c r="L24" s="16">
        <v>1072.9713360000001</v>
      </c>
      <c r="M24" s="16">
        <v>1385.4000820000001</v>
      </c>
      <c r="N24" s="16">
        <f t="shared" si="5"/>
        <v>2458.3714180000002</v>
      </c>
      <c r="O24" s="16">
        <f t="shared" si="1"/>
        <v>28290.696478999998</v>
      </c>
      <c r="P24" s="113">
        <v>20543.213029080409</v>
      </c>
      <c r="Q24" s="113"/>
      <c r="R24" s="113">
        <v>773.23598800000002</v>
      </c>
      <c r="S24" s="113">
        <v>5113.9161569999997</v>
      </c>
      <c r="T24" s="113">
        <v>1343.0832709195922</v>
      </c>
      <c r="U24" s="113">
        <v>655.95933523995541</v>
      </c>
      <c r="V24" s="113">
        <f t="shared" si="7"/>
        <v>28429.407780239959</v>
      </c>
      <c r="W24" s="113"/>
      <c r="X24" s="113">
        <v>1229.2685080000001</v>
      </c>
      <c r="Y24" s="113">
        <v>2065.4399206104999</v>
      </c>
      <c r="Z24" s="113">
        <v>5745.2701450000004</v>
      </c>
      <c r="AA24" s="113">
        <v>0</v>
      </c>
      <c r="AB24" s="113">
        <f t="shared" si="8"/>
        <v>9039.9785736105005</v>
      </c>
      <c r="AC24" s="113">
        <f t="shared" si="9"/>
        <v>37469.386353850459</v>
      </c>
      <c r="AD24" s="113">
        <v>21323.855123785463</v>
      </c>
      <c r="AE24" s="113">
        <v>1394.1204352145369</v>
      </c>
      <c r="AF24" s="113"/>
      <c r="AG24" s="113">
        <v>1068.9611709999999</v>
      </c>
      <c r="AH24" s="113">
        <v>5110.3136619999996</v>
      </c>
      <c r="AI24" s="113">
        <v>1941.7694509999999</v>
      </c>
      <c r="AJ24" s="113">
        <v>1174.4733859999999</v>
      </c>
      <c r="AK24" s="113">
        <f t="shared" si="10"/>
        <v>32013.493229</v>
      </c>
      <c r="AL24" s="119">
        <v>0</v>
      </c>
      <c r="AM24" s="119">
        <v>3048.1402210000001</v>
      </c>
      <c r="AN24" s="113">
        <v>4651.1978239999999</v>
      </c>
      <c r="AO24" s="113">
        <v>3549.0647760000002</v>
      </c>
      <c r="AP24" s="113">
        <v>0</v>
      </c>
      <c r="AQ24" s="113">
        <f t="shared" si="11"/>
        <v>11248.402821</v>
      </c>
      <c r="AR24" s="113">
        <f t="shared" si="12"/>
        <v>43261.896049999996</v>
      </c>
      <c r="AS24" s="113">
        <v>21667.16919161741</v>
      </c>
      <c r="AT24" s="113">
        <v>1416.565774221491</v>
      </c>
      <c r="AU24" s="113">
        <v>1973.0319391610999</v>
      </c>
      <c r="AV24" s="5"/>
      <c r="AW24" s="113">
        <v>11367.203224999999</v>
      </c>
      <c r="AX24" s="113">
        <v>2421.979656</v>
      </c>
      <c r="AY24" s="113">
        <v>582.55807700000003</v>
      </c>
      <c r="AZ24" s="113">
        <f t="shared" si="13"/>
        <v>39428.507863000006</v>
      </c>
      <c r="BA24" s="113"/>
      <c r="BB24" s="113">
        <v>3672.6545809999998</v>
      </c>
      <c r="BC24" s="113">
        <v>5989.1070399999999</v>
      </c>
      <c r="BD24" s="113">
        <v>2152.8510919999999</v>
      </c>
      <c r="BE24" s="5">
        <v>0</v>
      </c>
      <c r="BF24" s="113">
        <f t="shared" si="14"/>
        <v>11814.612712999999</v>
      </c>
      <c r="BG24" s="113">
        <f t="shared" si="15"/>
        <v>51243.120576000001</v>
      </c>
      <c r="BH24" s="122"/>
      <c r="BK24" s="122"/>
    </row>
    <row r="25" spans="2:63" ht="12.75" customHeight="1" x14ac:dyDescent="0.2">
      <c r="B25" s="18">
        <v>2102</v>
      </c>
      <c r="C25" s="107" t="s">
        <v>228</v>
      </c>
      <c r="D25" s="16">
        <v>51367.915158999996</v>
      </c>
      <c r="E25" s="16"/>
      <c r="F25" s="16">
        <v>760.66688199999999</v>
      </c>
      <c r="G25" s="16">
        <v>6432.3135739999998</v>
      </c>
      <c r="H25" s="16">
        <v>805.24359300000003</v>
      </c>
      <c r="I25" s="16"/>
      <c r="J25" s="16">
        <f t="shared" si="6"/>
        <v>59366.139207999993</v>
      </c>
      <c r="K25" s="16">
        <v>2315.3287780000001</v>
      </c>
      <c r="L25" s="16">
        <v>1643.2420930000001</v>
      </c>
      <c r="M25" s="16">
        <v>2339.4746770000002</v>
      </c>
      <c r="N25" s="16">
        <f t="shared" si="5"/>
        <v>6298.0455480000001</v>
      </c>
      <c r="O25" s="16">
        <f t="shared" si="1"/>
        <v>65664.184755999988</v>
      </c>
      <c r="P25" s="113">
        <v>53832.260815024594</v>
      </c>
      <c r="Q25" s="113"/>
      <c r="R25" s="113">
        <v>642.79628100000002</v>
      </c>
      <c r="S25" s="113">
        <v>7014.8741920000002</v>
      </c>
      <c r="T25" s="113">
        <v>3352.2638669754083</v>
      </c>
      <c r="U25" s="113">
        <v>638.52596902460118</v>
      </c>
      <c r="V25" s="113">
        <f t="shared" si="7"/>
        <v>65480.721124024611</v>
      </c>
      <c r="W25" s="113">
        <v>2384.7886410000001</v>
      </c>
      <c r="X25" s="113">
        <v>2026.3021329999999</v>
      </c>
      <c r="Y25" s="113">
        <v>1903.1024184746495</v>
      </c>
      <c r="Z25" s="113">
        <v>7576.9666740000002</v>
      </c>
      <c r="AA25" s="113">
        <v>0</v>
      </c>
      <c r="AB25" s="113">
        <f t="shared" si="8"/>
        <v>13891.159866474649</v>
      </c>
      <c r="AC25" s="113">
        <f t="shared" si="9"/>
        <v>79371.880990499252</v>
      </c>
      <c r="AD25" s="113">
        <v>55877.88672607953</v>
      </c>
      <c r="AE25" s="113">
        <v>3479.6498939204739</v>
      </c>
      <c r="AF25" s="113"/>
      <c r="AG25" s="113">
        <v>904.06475899999998</v>
      </c>
      <c r="AH25" s="113">
        <v>7629.8970140000001</v>
      </c>
      <c r="AI25" s="113">
        <v>2932.463045</v>
      </c>
      <c r="AJ25" s="113">
        <v>1254.6548319999999</v>
      </c>
      <c r="AK25" s="113">
        <f t="shared" si="10"/>
        <v>72078.616269999999</v>
      </c>
      <c r="AL25" s="119">
        <v>2465.871455</v>
      </c>
      <c r="AM25" s="119">
        <v>5749.7437869999994</v>
      </c>
      <c r="AN25" s="113">
        <v>4136.8435749999999</v>
      </c>
      <c r="AO25" s="113">
        <v>3021.3113079999998</v>
      </c>
      <c r="AP25" s="113">
        <v>0</v>
      </c>
      <c r="AQ25" s="113">
        <f t="shared" si="11"/>
        <v>15373.770124999999</v>
      </c>
      <c r="AR25" s="113">
        <f t="shared" si="12"/>
        <v>87452.386394999994</v>
      </c>
      <c r="AS25" s="113">
        <v>56777.520702762908</v>
      </c>
      <c r="AT25" s="113">
        <v>3535.6722572125936</v>
      </c>
      <c r="AU25" s="113">
        <v>2979.6757000244997</v>
      </c>
      <c r="AV25" s="5"/>
      <c r="AW25" s="113">
        <v>15359.979880000001</v>
      </c>
      <c r="AX25" s="113">
        <v>3705.551367</v>
      </c>
      <c r="AY25" s="113">
        <v>657.62495999999999</v>
      </c>
      <c r="AZ25" s="113">
        <f t="shared" si="13"/>
        <v>83016.024867000015</v>
      </c>
      <c r="BA25" s="113">
        <v>2542.3134700000001</v>
      </c>
      <c r="BB25" s="113">
        <v>6412.3303900000001</v>
      </c>
      <c r="BC25" s="113">
        <v>5478.5708450000002</v>
      </c>
      <c r="BD25" s="113">
        <v>0</v>
      </c>
      <c r="BE25" s="113">
        <v>1738.269303</v>
      </c>
      <c r="BF25" s="113">
        <f t="shared" si="14"/>
        <v>16171.484007999999</v>
      </c>
      <c r="BG25" s="113">
        <f t="shared" si="15"/>
        <v>99187.508875000014</v>
      </c>
      <c r="BH25" s="122"/>
      <c r="BK25" s="122"/>
    </row>
    <row r="26" spans="2:63" ht="12.75" customHeight="1" x14ac:dyDescent="0.2">
      <c r="B26" s="18">
        <v>9929</v>
      </c>
      <c r="C26" s="107" t="s">
        <v>287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>
        <v>11600</v>
      </c>
      <c r="AE26" s="113">
        <v>0</v>
      </c>
      <c r="AF26" s="113"/>
      <c r="AG26" s="113"/>
      <c r="AH26" s="113"/>
      <c r="AI26" s="113"/>
      <c r="AJ26" s="113"/>
      <c r="AK26" s="113">
        <f t="shared" si="10"/>
        <v>11600</v>
      </c>
      <c r="AL26" s="119"/>
      <c r="AM26" s="119">
        <v>0</v>
      </c>
      <c r="AN26" s="113">
        <v>1129.4533859999999</v>
      </c>
      <c r="AO26" s="113">
        <v>0</v>
      </c>
      <c r="AP26" s="113">
        <v>0</v>
      </c>
      <c r="AQ26" s="113">
        <f t="shared" si="11"/>
        <v>1129.4533859999999</v>
      </c>
      <c r="AR26" s="113">
        <f t="shared" si="12"/>
        <v>12729.453385999999</v>
      </c>
      <c r="AS26" s="113">
        <v>11786.76</v>
      </c>
      <c r="AT26" s="113">
        <v>0</v>
      </c>
      <c r="AU26" s="113">
        <v>0</v>
      </c>
      <c r="AV26" s="5"/>
      <c r="AW26" s="113">
        <v>0</v>
      </c>
      <c r="AX26" s="113">
        <v>522</v>
      </c>
      <c r="AY26" s="113">
        <v>72.468733999999998</v>
      </c>
      <c r="AZ26" s="113">
        <f t="shared" si="13"/>
        <v>12381.228734</v>
      </c>
      <c r="BA26" s="113"/>
      <c r="BB26" s="113">
        <v>14.514875999999999</v>
      </c>
      <c r="BC26" s="113">
        <v>1440.449036</v>
      </c>
      <c r="BD26" s="113">
        <v>0</v>
      </c>
      <c r="BE26" s="5">
        <v>0</v>
      </c>
      <c r="BF26" s="113">
        <f t="shared" si="14"/>
        <v>1454.9639119999999</v>
      </c>
      <c r="BG26" s="113">
        <f t="shared" si="15"/>
        <v>13836.192646</v>
      </c>
      <c r="BH26" s="122"/>
      <c r="BK26" s="122"/>
    </row>
    <row r="27" spans="2:63" ht="15.75" customHeight="1" x14ac:dyDescent="0.2">
      <c r="C27" s="103" t="s">
        <v>71</v>
      </c>
      <c r="D27" s="105">
        <f>SUM(D28:D43)</f>
        <v>1386882.9569860001</v>
      </c>
      <c r="E27" s="105">
        <f>+SUM(E28:E43)</f>
        <v>0</v>
      </c>
      <c r="F27" s="105">
        <f t="shared" ref="F27:I27" si="16">SUM(F28:F43)</f>
        <v>9673.4270350000006</v>
      </c>
      <c r="G27" s="105">
        <f t="shared" si="16"/>
        <v>9721.3326770000021</v>
      </c>
      <c r="H27" s="105">
        <f t="shared" si="16"/>
        <v>14648.125470000001</v>
      </c>
      <c r="I27" s="105">
        <f t="shared" si="16"/>
        <v>0</v>
      </c>
      <c r="J27" s="105">
        <f>+SUM(D27:I27)</f>
        <v>1420925.8421680001</v>
      </c>
      <c r="K27" s="105">
        <f>SUM(K28:K43)</f>
        <v>0</v>
      </c>
      <c r="L27" s="105">
        <f>SUM(L28:L43)</f>
        <v>13021.507912000001</v>
      </c>
      <c r="M27" s="105">
        <f>SUM(M28:M43)</f>
        <v>36193.324503000003</v>
      </c>
      <c r="N27" s="105">
        <f t="shared" si="5"/>
        <v>49214.832415000004</v>
      </c>
      <c r="O27" s="105">
        <f t="shared" si="1"/>
        <v>1470140.6745830001</v>
      </c>
      <c r="P27" s="114">
        <f>+SUM(P28:P43)</f>
        <v>1446099.6530655047</v>
      </c>
      <c r="Q27" s="114">
        <f t="shared" ref="Q27:AC27" si="17">+SUM(Q28:Q43)</f>
        <v>0</v>
      </c>
      <c r="R27" s="114">
        <f t="shared" si="17"/>
        <v>15321.478292000002</v>
      </c>
      <c r="S27" s="114">
        <f t="shared" si="17"/>
        <v>10670.872556</v>
      </c>
      <c r="T27" s="114">
        <f t="shared" si="17"/>
        <v>51476.194032495288</v>
      </c>
      <c r="U27" s="114">
        <f t="shared" si="17"/>
        <v>12933.70520015241</v>
      </c>
      <c r="V27" s="114">
        <f t="shared" si="17"/>
        <v>1536501.9031461526</v>
      </c>
      <c r="W27" s="114">
        <f t="shared" si="17"/>
        <v>0</v>
      </c>
      <c r="X27" s="114">
        <f t="shared" si="17"/>
        <v>14548.553035999998</v>
      </c>
      <c r="Y27" s="114">
        <f t="shared" si="17"/>
        <v>38837.282245956922</v>
      </c>
      <c r="Z27" s="114">
        <f t="shared" si="17"/>
        <v>105386.12358999997</v>
      </c>
      <c r="AA27" s="114">
        <f t="shared" si="17"/>
        <v>0</v>
      </c>
      <c r="AB27" s="114">
        <f t="shared" si="17"/>
        <v>158771.95887195691</v>
      </c>
      <c r="AC27" s="114">
        <f t="shared" si="17"/>
        <v>1695273.8620181091</v>
      </c>
      <c r="AD27" s="114">
        <f>+SUM(AD28:AD43)</f>
        <v>1501051.4398812701</v>
      </c>
      <c r="AE27" s="114">
        <f>+SUM(AE28:AE43)</f>
        <v>53432.289405730102</v>
      </c>
      <c r="AF27" s="114">
        <f t="shared" ref="AF27:BG27" si="18">+SUM(AF28:AF43)</f>
        <v>0</v>
      </c>
      <c r="AG27" s="114">
        <f t="shared" si="18"/>
        <v>21472.481861</v>
      </c>
      <c r="AH27" s="114">
        <f t="shared" si="18"/>
        <v>10775.315647000001</v>
      </c>
      <c r="AI27" s="114">
        <f t="shared" si="18"/>
        <v>62445.771390999987</v>
      </c>
      <c r="AJ27" s="114">
        <f t="shared" si="18"/>
        <v>19305.501394999999</v>
      </c>
      <c r="AK27" s="114">
        <f t="shared" si="18"/>
        <v>1668482.7995809999</v>
      </c>
      <c r="AL27" s="114">
        <f t="shared" si="18"/>
        <v>0</v>
      </c>
      <c r="AM27" s="114">
        <f t="shared" si="18"/>
        <v>35646.744044999999</v>
      </c>
      <c r="AN27" s="114">
        <f t="shared" si="18"/>
        <v>73758.492929999993</v>
      </c>
      <c r="AO27" s="114">
        <f t="shared" si="18"/>
        <v>59176.679269</v>
      </c>
      <c r="AP27" s="114">
        <f t="shared" si="18"/>
        <v>5051.7027799999996</v>
      </c>
      <c r="AQ27" s="114">
        <f t="shared" si="18"/>
        <v>173633.61902399999</v>
      </c>
      <c r="AR27" s="114">
        <f t="shared" si="18"/>
        <v>1842116.4186050002</v>
      </c>
      <c r="AS27" s="114">
        <f t="shared" si="18"/>
        <v>1525218.3680634431</v>
      </c>
      <c r="AT27" s="114">
        <f t="shared" si="18"/>
        <v>54292.549265162357</v>
      </c>
      <c r="AU27" s="114">
        <f t="shared" si="18"/>
        <v>63451.148310395103</v>
      </c>
      <c r="AV27" s="114">
        <f t="shared" si="18"/>
        <v>0</v>
      </c>
      <c r="AW27" s="114">
        <f t="shared" si="18"/>
        <v>19609.959105999995</v>
      </c>
      <c r="AX27" s="114">
        <f t="shared" si="18"/>
        <v>75672.469769000003</v>
      </c>
      <c r="AY27" s="114">
        <f t="shared" si="18"/>
        <v>9416.4273810000013</v>
      </c>
      <c r="AZ27" s="114">
        <f t="shared" si="18"/>
        <v>1747660.9218950002</v>
      </c>
      <c r="BA27" s="114">
        <f t="shared" si="18"/>
        <v>0</v>
      </c>
      <c r="BB27" s="114">
        <f t="shared" si="18"/>
        <v>36609.984982999995</v>
      </c>
      <c r="BC27" s="114">
        <f t="shared" si="18"/>
        <v>91053.482042000003</v>
      </c>
      <c r="BD27" s="114">
        <f t="shared" si="18"/>
        <v>40738.442503999999</v>
      </c>
      <c r="BE27" s="114">
        <f t="shared" si="18"/>
        <v>1610.486161</v>
      </c>
      <c r="BF27" s="114">
        <f t="shared" si="18"/>
        <v>170012.39569000003</v>
      </c>
      <c r="BG27" s="114">
        <f t="shared" si="18"/>
        <v>1917673.3175850001</v>
      </c>
      <c r="BK27" s="122"/>
    </row>
    <row r="28" spans="2:63" ht="12.75" customHeight="1" x14ac:dyDescent="0.2">
      <c r="B28" s="18">
        <v>1201</v>
      </c>
      <c r="C28" s="12" t="s">
        <v>210</v>
      </c>
      <c r="D28" s="16">
        <v>336430.07339699997</v>
      </c>
      <c r="E28" s="16"/>
      <c r="F28" s="16">
        <v>891.99847799999998</v>
      </c>
      <c r="G28" s="16">
        <v>1497.877974</v>
      </c>
      <c r="H28" s="16">
        <v>2168.0670799999998</v>
      </c>
      <c r="I28" s="16"/>
      <c r="J28" s="16">
        <f>+SUM(D28:I28)</f>
        <v>340988.01692899998</v>
      </c>
      <c r="K28" s="16"/>
      <c r="L28" s="16">
        <v>1508.7754150000001</v>
      </c>
      <c r="M28" s="16">
        <v>3121.2189210000001</v>
      </c>
      <c r="N28" s="16">
        <f t="shared" si="5"/>
        <v>4629.9943359999997</v>
      </c>
      <c r="O28" s="16">
        <f t="shared" si="1"/>
        <v>345618.01126499998</v>
      </c>
      <c r="P28" s="113">
        <v>349365.53288218507</v>
      </c>
      <c r="Q28" s="113"/>
      <c r="R28" s="113">
        <v>1277.850817</v>
      </c>
      <c r="S28" s="113">
        <v>1677.3888899999999</v>
      </c>
      <c r="T28" s="113">
        <v>10354.167532814923</v>
      </c>
      <c r="U28" s="113">
        <v>1007.3346483858824</v>
      </c>
      <c r="V28" s="113">
        <f t="shared" si="7"/>
        <v>363682.27477038588</v>
      </c>
      <c r="W28" s="113"/>
      <c r="X28" s="113">
        <v>1950.78504</v>
      </c>
      <c r="Y28" s="113">
        <v>2561.9790534377848</v>
      </c>
      <c r="Z28" s="113">
        <v>12023.678029000001</v>
      </c>
      <c r="AA28" s="113">
        <v>0</v>
      </c>
      <c r="AB28" s="113">
        <f>+SUM(W28:AA28)</f>
        <v>16536.442122437787</v>
      </c>
      <c r="AC28" s="113">
        <f t="shared" si="9"/>
        <v>380218.71689282369</v>
      </c>
      <c r="AD28" s="113">
        <v>362641.42313193809</v>
      </c>
      <c r="AE28" s="113">
        <v>10747.62589906189</v>
      </c>
      <c r="AF28" s="113"/>
      <c r="AG28" s="113">
        <v>1727.921734</v>
      </c>
      <c r="AH28" s="113">
        <v>1438.1852919999999</v>
      </c>
      <c r="AI28" s="113">
        <v>10720.580943999999</v>
      </c>
      <c r="AJ28" s="113">
        <v>1565.9327479999999</v>
      </c>
      <c r="AK28" s="113">
        <f t="shared" ref="AK28:AK43" si="19">+SUM(AD28:AJ28)</f>
        <v>388841.66974899999</v>
      </c>
      <c r="AL28" s="113"/>
      <c r="AM28" s="119">
        <v>4364.59692</v>
      </c>
      <c r="AN28" s="113">
        <v>6063.4584430000004</v>
      </c>
      <c r="AO28" s="113">
        <v>7430.0051569999996</v>
      </c>
      <c r="AP28" s="113">
        <v>0</v>
      </c>
      <c r="AQ28" s="113">
        <f>+SUM(AL28:AP28)</f>
        <v>17858.060519999999</v>
      </c>
      <c r="AR28" s="113">
        <f t="shared" ref="AR28:AR43" si="20">+AQ28+AK28</f>
        <v>406699.73026899999</v>
      </c>
      <c r="AS28" s="113">
        <v>368479.95004476485</v>
      </c>
      <c r="AT28" s="113">
        <v>10920.662676036787</v>
      </c>
      <c r="AU28" s="113">
        <v>10893.1822971984</v>
      </c>
      <c r="AV28" s="5"/>
      <c r="AW28" s="113">
        <v>1977.3563630000001</v>
      </c>
      <c r="AX28" s="113">
        <v>12750.21638</v>
      </c>
      <c r="AY28" s="113">
        <v>771.17963799999995</v>
      </c>
      <c r="AZ28" s="113">
        <f t="shared" si="13"/>
        <v>405792.54739899997</v>
      </c>
      <c r="BA28" s="5"/>
      <c r="BB28" s="113">
        <v>3880.078219</v>
      </c>
      <c r="BC28" s="113">
        <v>7493.6721509999998</v>
      </c>
      <c r="BD28" s="113">
        <v>5244.6638130000001</v>
      </c>
      <c r="BE28" s="113">
        <v>0</v>
      </c>
      <c r="BF28" s="113">
        <f t="shared" si="14"/>
        <v>16618.414183000001</v>
      </c>
      <c r="BG28" s="113">
        <f t="shared" si="15"/>
        <v>422410.96158199996</v>
      </c>
      <c r="BK28" s="122"/>
    </row>
    <row r="29" spans="2:63" ht="12.75" customHeight="1" x14ac:dyDescent="0.2">
      <c r="B29" s="18">
        <v>1205</v>
      </c>
      <c r="C29" s="12" t="s">
        <v>214</v>
      </c>
      <c r="D29" s="16">
        <v>88357.114828999998</v>
      </c>
      <c r="E29" s="16"/>
      <c r="F29" s="16">
        <v>836.10950200000002</v>
      </c>
      <c r="G29" s="16">
        <v>591.47548200000006</v>
      </c>
      <c r="H29" s="16">
        <v>1014.756131</v>
      </c>
      <c r="I29" s="16"/>
      <c r="J29" s="16">
        <f t="shared" ref="J29:J43" si="21">+SUM(D29:I29)</f>
        <v>90799.455944000001</v>
      </c>
      <c r="K29" s="16"/>
      <c r="L29" s="16">
        <v>1063.4050689999999</v>
      </c>
      <c r="M29" s="16">
        <v>3070.6145580000002</v>
      </c>
      <c r="N29" s="16">
        <f t="shared" si="5"/>
        <v>4134.0196269999997</v>
      </c>
      <c r="O29" s="16">
        <f t="shared" si="1"/>
        <v>94933.475571000003</v>
      </c>
      <c r="P29" s="113">
        <v>92213.888943233702</v>
      </c>
      <c r="Q29" s="113"/>
      <c r="R29" s="113">
        <v>1132.452808</v>
      </c>
      <c r="S29" s="113">
        <v>784.00949000000003</v>
      </c>
      <c r="T29" s="113">
        <v>3040.1313547663099</v>
      </c>
      <c r="U29" s="113">
        <v>727.99825904691795</v>
      </c>
      <c r="V29" s="113">
        <f t="shared" si="7"/>
        <v>97898.480855046932</v>
      </c>
      <c r="W29" s="113"/>
      <c r="X29" s="113">
        <v>1191.1914810000001</v>
      </c>
      <c r="Y29" s="113">
        <v>2453.2150300921485</v>
      </c>
      <c r="Z29" s="113">
        <v>6932.6672040000003</v>
      </c>
      <c r="AA29" s="113">
        <v>0</v>
      </c>
      <c r="AB29" s="113">
        <f t="shared" ref="AB29:AB43" si="22">+SUM(W29:AA29)</f>
        <v>10577.073715092149</v>
      </c>
      <c r="AC29" s="113">
        <f t="shared" si="9"/>
        <v>108475.55457013908</v>
      </c>
      <c r="AD29" s="113">
        <v>95718.016722752567</v>
      </c>
      <c r="AE29" s="113">
        <v>3155.6563462474296</v>
      </c>
      <c r="AF29" s="113"/>
      <c r="AG29" s="113">
        <v>1552.5119709999999</v>
      </c>
      <c r="AH29" s="113">
        <v>630.72685999999999</v>
      </c>
      <c r="AI29" s="113">
        <v>3837.672474</v>
      </c>
      <c r="AJ29" s="113">
        <v>1145.6307629999999</v>
      </c>
      <c r="AK29" s="113">
        <f t="shared" si="19"/>
        <v>106040.21513699999</v>
      </c>
      <c r="AL29" s="113"/>
      <c r="AM29" s="119">
        <v>2719.4903840000002</v>
      </c>
      <c r="AN29" s="113">
        <v>4897.4077889999999</v>
      </c>
      <c r="AO29" s="113">
        <v>4215.9724999999999</v>
      </c>
      <c r="AP29" s="113">
        <v>0</v>
      </c>
      <c r="AQ29" s="113">
        <f t="shared" ref="AQ29:AQ43" si="23">+SUM(AL29:AP29)</f>
        <v>11832.870672999999</v>
      </c>
      <c r="AR29" s="113">
        <f t="shared" si="20"/>
        <v>117873.08580999999</v>
      </c>
      <c r="AS29" s="113">
        <v>97259.0767917466</v>
      </c>
      <c r="AT29" s="113">
        <v>3206.462413422013</v>
      </c>
      <c r="AU29" s="113">
        <v>3899.4590008313999</v>
      </c>
      <c r="AV29" s="5"/>
      <c r="AW29" s="113">
        <v>2025.2747859999999</v>
      </c>
      <c r="AX29" s="113">
        <v>4739.5868339999997</v>
      </c>
      <c r="AY29" s="113">
        <v>566.88856699999997</v>
      </c>
      <c r="AZ29" s="113">
        <f t="shared" si="13"/>
        <v>111696.748393</v>
      </c>
      <c r="BA29" s="5"/>
      <c r="BB29" s="113">
        <v>2707.904376</v>
      </c>
      <c r="BC29" s="113">
        <v>5948.8825029999998</v>
      </c>
      <c r="BD29" s="113">
        <v>2925.7503280000001</v>
      </c>
      <c r="BE29" s="113">
        <v>0</v>
      </c>
      <c r="BF29" s="113">
        <f t="shared" si="14"/>
        <v>11582.537206999999</v>
      </c>
      <c r="BG29" s="113">
        <f t="shared" si="15"/>
        <v>123279.2856</v>
      </c>
      <c r="BK29" s="122"/>
    </row>
    <row r="30" spans="2:63" ht="12.75" customHeight="1" x14ac:dyDescent="0.2">
      <c r="B30" s="18">
        <v>1206</v>
      </c>
      <c r="C30" s="12" t="s">
        <v>215</v>
      </c>
      <c r="D30" s="16">
        <v>69501.366055999999</v>
      </c>
      <c r="E30" s="16"/>
      <c r="F30" s="16">
        <v>574.37331099999994</v>
      </c>
      <c r="G30" s="16">
        <v>136.981402</v>
      </c>
      <c r="H30" s="16">
        <v>794.72007299999996</v>
      </c>
      <c r="I30" s="16"/>
      <c r="J30" s="16">
        <f t="shared" si="21"/>
        <v>71007.440842000011</v>
      </c>
      <c r="K30" s="16"/>
      <c r="L30" s="16">
        <v>454.66714000000002</v>
      </c>
      <c r="M30" s="16">
        <v>2009.890617</v>
      </c>
      <c r="N30" s="16">
        <f t="shared" si="5"/>
        <v>2464.557757</v>
      </c>
      <c r="O30" s="16">
        <f t="shared" si="1"/>
        <v>73471.998599000013</v>
      </c>
      <c r="P30" s="113">
        <v>72531.495758604695</v>
      </c>
      <c r="Q30" s="113"/>
      <c r="R30" s="113">
        <v>889.68494299999998</v>
      </c>
      <c r="S30" s="113">
        <v>150.27815000000001</v>
      </c>
      <c r="T30" s="113">
        <v>2449.612475395294</v>
      </c>
      <c r="U30" s="113">
        <v>1006.5662402760644</v>
      </c>
      <c r="V30" s="113">
        <f t="shared" si="7"/>
        <v>77027.637567276048</v>
      </c>
      <c r="W30" s="113"/>
      <c r="X30" s="113">
        <v>515.21851700000002</v>
      </c>
      <c r="Y30" s="113">
        <v>2610.6866604661896</v>
      </c>
      <c r="Z30" s="113">
        <v>5014.7547949999998</v>
      </c>
      <c r="AA30" s="113">
        <v>0</v>
      </c>
      <c r="AB30" s="113">
        <f t="shared" si="22"/>
        <v>8140.6599724661892</v>
      </c>
      <c r="AC30" s="113">
        <f t="shared" si="9"/>
        <v>85168.297539742241</v>
      </c>
      <c r="AD30" s="113">
        <v>75287.692597539673</v>
      </c>
      <c r="AE30" s="113">
        <v>2542.6977494603152</v>
      </c>
      <c r="AF30" s="113"/>
      <c r="AG30" s="113">
        <v>1198.7948919999999</v>
      </c>
      <c r="AH30" s="113">
        <v>176.814041</v>
      </c>
      <c r="AI30" s="113">
        <v>3402.6238720000001</v>
      </c>
      <c r="AJ30" s="113">
        <v>1198.572449</v>
      </c>
      <c r="AK30" s="113">
        <f t="shared" si="19"/>
        <v>83807.195600999999</v>
      </c>
      <c r="AL30" s="113"/>
      <c r="AM30" s="119">
        <v>1113.848225</v>
      </c>
      <c r="AN30" s="113">
        <v>4722.5157040000004</v>
      </c>
      <c r="AO30" s="113">
        <v>3579.9932720000002</v>
      </c>
      <c r="AP30" s="113">
        <v>0</v>
      </c>
      <c r="AQ30" s="113">
        <f t="shared" si="23"/>
        <v>9416.3572010000007</v>
      </c>
      <c r="AR30" s="113">
        <f t="shared" si="20"/>
        <v>93223.552802000006</v>
      </c>
      <c r="AS30" s="113">
        <v>76499.82444843417</v>
      </c>
      <c r="AT30" s="113">
        <v>2583.6351832266264</v>
      </c>
      <c r="AU30" s="113">
        <v>3457.4061163392003</v>
      </c>
      <c r="AV30" s="5"/>
      <c r="AW30" s="113">
        <v>174.41070099999999</v>
      </c>
      <c r="AX30" s="113">
        <v>4124.8410590000003</v>
      </c>
      <c r="AY30" s="113">
        <v>577.27911800000004</v>
      </c>
      <c r="AZ30" s="113">
        <f t="shared" si="13"/>
        <v>87417.396626000002</v>
      </c>
      <c r="BA30" s="5"/>
      <c r="BB30" s="113">
        <v>1281.8331989999999</v>
      </c>
      <c r="BC30" s="113">
        <v>5838.8057440000002</v>
      </c>
      <c r="BD30" s="113">
        <v>2386.9397100000001</v>
      </c>
      <c r="BE30" s="113">
        <v>0</v>
      </c>
      <c r="BF30" s="113">
        <f t="shared" si="14"/>
        <v>9507.5786530000005</v>
      </c>
      <c r="BG30" s="113">
        <f t="shared" si="15"/>
        <v>96924.975279000006</v>
      </c>
      <c r="BK30" s="122"/>
    </row>
    <row r="31" spans="2:63" s="24" customFormat="1" ht="12.75" customHeight="1" x14ac:dyDescent="0.2">
      <c r="B31" s="18">
        <v>1212</v>
      </c>
      <c r="C31" s="22" t="s">
        <v>274</v>
      </c>
      <c r="D31" s="16">
        <v>45767.385186</v>
      </c>
      <c r="E31" s="23"/>
      <c r="F31" s="16">
        <v>493.91808200000003</v>
      </c>
      <c r="G31" s="16">
        <v>773.45221700000002</v>
      </c>
      <c r="H31" s="16">
        <v>659.66744700000004</v>
      </c>
      <c r="I31" s="16"/>
      <c r="J31" s="16">
        <f t="shared" si="21"/>
        <v>47694.422931999994</v>
      </c>
      <c r="K31" s="23"/>
      <c r="L31" s="16">
        <v>711.20477100000005</v>
      </c>
      <c r="M31" s="16">
        <v>2068.8660289999998</v>
      </c>
      <c r="N31" s="16">
        <f t="shared" si="5"/>
        <v>2780.0708</v>
      </c>
      <c r="O31" s="16">
        <f t="shared" si="1"/>
        <v>50474.493731999995</v>
      </c>
      <c r="P31" s="113">
        <v>47903.429003953781</v>
      </c>
      <c r="Q31" s="113"/>
      <c r="R31" s="113">
        <v>783.41739800000005</v>
      </c>
      <c r="S31" s="113">
        <v>885.11792300000002</v>
      </c>
      <c r="T31" s="113">
        <v>2296.6273670462151</v>
      </c>
      <c r="U31" s="113">
        <v>653.18120538581184</v>
      </c>
      <c r="V31" s="113">
        <f t="shared" si="7"/>
        <v>52521.772897385803</v>
      </c>
      <c r="W31" s="113"/>
      <c r="X31" s="113">
        <v>888.67326700000001</v>
      </c>
      <c r="Y31" s="113">
        <v>2316.4547498819979</v>
      </c>
      <c r="Z31" s="113">
        <v>4313.5503250000002</v>
      </c>
      <c r="AA31" s="113">
        <v>0</v>
      </c>
      <c r="AB31" s="113">
        <f t="shared" si="22"/>
        <v>7518.6783418819978</v>
      </c>
      <c r="AC31" s="113">
        <f t="shared" si="9"/>
        <v>60040.451239267801</v>
      </c>
      <c r="AD31" s="113">
        <v>49723.759306006032</v>
      </c>
      <c r="AE31" s="113">
        <v>2383.8992069939713</v>
      </c>
      <c r="AF31" s="113"/>
      <c r="AG31" s="113">
        <v>1079.7570940000001</v>
      </c>
      <c r="AH31" s="113">
        <v>973.38532799999996</v>
      </c>
      <c r="AI31" s="113">
        <v>2855.7757339999998</v>
      </c>
      <c r="AJ31" s="113">
        <v>1185.1315219999999</v>
      </c>
      <c r="AK31" s="113">
        <f t="shared" si="19"/>
        <v>58201.708191000005</v>
      </c>
      <c r="AL31" s="113"/>
      <c r="AM31" s="119">
        <v>2080.2673570000002</v>
      </c>
      <c r="AN31" s="113">
        <v>4165.294543</v>
      </c>
      <c r="AO31" s="113">
        <v>2956.4968789999998</v>
      </c>
      <c r="AP31" s="113">
        <v>0</v>
      </c>
      <c r="AQ31" s="113">
        <f t="shared" si="23"/>
        <v>9202.0587790000009</v>
      </c>
      <c r="AR31" s="113">
        <f t="shared" si="20"/>
        <v>67403.766970000011</v>
      </c>
      <c r="AS31" s="113">
        <v>50524.311830456027</v>
      </c>
      <c r="AT31" s="113">
        <v>2422.2799842265745</v>
      </c>
      <c r="AU31" s="113">
        <v>2901.7537233173998</v>
      </c>
      <c r="AV31" s="5"/>
      <c r="AW31" s="113">
        <v>1617.9268850000001</v>
      </c>
      <c r="AX31" s="113">
        <v>3531.0826440000001</v>
      </c>
      <c r="AY31" s="113">
        <v>575.24520199999995</v>
      </c>
      <c r="AZ31" s="113">
        <f t="shared" si="13"/>
        <v>61572.600269000002</v>
      </c>
      <c r="BA31" s="73"/>
      <c r="BB31" s="113">
        <v>2834.9769809999998</v>
      </c>
      <c r="BC31" s="113">
        <v>5077.5421699999997</v>
      </c>
      <c r="BD31" s="113">
        <v>2104.1221519999999</v>
      </c>
      <c r="BE31" s="113">
        <v>0</v>
      </c>
      <c r="BF31" s="113">
        <f t="shared" si="14"/>
        <v>10016.641303</v>
      </c>
      <c r="BG31" s="113">
        <f t="shared" si="15"/>
        <v>71589.241571999999</v>
      </c>
      <c r="BI31" s="2"/>
      <c r="BJ31" s="2"/>
      <c r="BK31" s="122"/>
    </row>
    <row r="32" spans="2:63" ht="12.75" customHeight="1" x14ac:dyDescent="0.2">
      <c r="B32" s="18">
        <v>1202</v>
      </c>
      <c r="C32" s="12" t="s">
        <v>275</v>
      </c>
      <c r="D32" s="16">
        <v>127731.231677</v>
      </c>
      <c r="E32" s="16"/>
      <c r="F32" s="16">
        <v>657.45932000000005</v>
      </c>
      <c r="G32" s="16">
        <v>35.310263999999997</v>
      </c>
      <c r="H32" s="16">
        <v>1057.1711170000001</v>
      </c>
      <c r="I32" s="16"/>
      <c r="J32" s="16">
        <f t="shared" si="21"/>
        <v>129481.172378</v>
      </c>
      <c r="K32" s="16"/>
      <c r="L32" s="16">
        <v>578.01808600000004</v>
      </c>
      <c r="M32" s="16">
        <v>2618.7558410000001</v>
      </c>
      <c r="N32" s="16">
        <f t="shared" si="5"/>
        <v>3196.7739270000002</v>
      </c>
      <c r="O32" s="16">
        <f t="shared" si="1"/>
        <v>132677.94630499999</v>
      </c>
      <c r="P32" s="113">
        <v>132883.8631770311</v>
      </c>
      <c r="Q32" s="113"/>
      <c r="R32" s="113">
        <v>1008.14376</v>
      </c>
      <c r="S32" s="113">
        <v>30.566174</v>
      </c>
      <c r="T32" s="113">
        <v>5112.7343869688875</v>
      </c>
      <c r="U32" s="113">
        <v>1111.3548057992784</v>
      </c>
      <c r="V32" s="113">
        <f t="shared" si="7"/>
        <v>140146.6623037993</v>
      </c>
      <c r="W32" s="113"/>
      <c r="X32" s="113">
        <v>955.71335399999998</v>
      </c>
      <c r="Y32" s="113">
        <v>2834.5613320437501</v>
      </c>
      <c r="Z32" s="113">
        <v>7019.2482389999996</v>
      </c>
      <c r="AA32" s="113">
        <v>0</v>
      </c>
      <c r="AB32" s="113">
        <f t="shared" si="22"/>
        <v>10809.52292504375</v>
      </c>
      <c r="AC32" s="113">
        <f t="shared" si="9"/>
        <v>150956.18522884304</v>
      </c>
      <c r="AD32" s="113">
        <v>137933.44997732629</v>
      </c>
      <c r="AE32" s="113">
        <v>5307.0182936737056</v>
      </c>
      <c r="AF32" s="113"/>
      <c r="AG32" s="113">
        <v>1597.491855</v>
      </c>
      <c r="AH32" s="113">
        <v>79.106663999999995</v>
      </c>
      <c r="AI32" s="113">
        <v>5060.6645420000004</v>
      </c>
      <c r="AJ32" s="113">
        <v>1301.529397</v>
      </c>
      <c r="AK32" s="113">
        <f t="shared" si="19"/>
        <v>151279.260729</v>
      </c>
      <c r="AL32" s="113"/>
      <c r="AM32" s="119">
        <v>2076.387882</v>
      </c>
      <c r="AN32" s="113">
        <v>5304.192771</v>
      </c>
      <c r="AO32" s="113">
        <v>0</v>
      </c>
      <c r="AP32" s="113">
        <v>3499.0685079999998</v>
      </c>
      <c r="AQ32" s="113">
        <f t="shared" si="23"/>
        <v>10879.649160999999</v>
      </c>
      <c r="AR32" s="113">
        <f t="shared" si="20"/>
        <v>162158.90989000001</v>
      </c>
      <c r="AS32" s="113">
        <v>140154.17852167194</v>
      </c>
      <c r="AT32" s="113">
        <v>5392.4612882018519</v>
      </c>
      <c r="AU32" s="113">
        <v>5142.1412411262008</v>
      </c>
      <c r="AV32" s="5"/>
      <c r="AW32" s="113">
        <v>158.24655000000001</v>
      </c>
      <c r="AX32" s="113">
        <v>6083.9243489999999</v>
      </c>
      <c r="AY32" s="113">
        <v>617.312275</v>
      </c>
      <c r="AZ32" s="113">
        <f t="shared" si="13"/>
        <v>157548.26422500002</v>
      </c>
      <c r="BA32" s="5"/>
      <c r="BB32" s="113">
        <v>1683.6260440000001</v>
      </c>
      <c r="BC32" s="113">
        <v>6180.5470240000004</v>
      </c>
      <c r="BD32" s="113">
        <v>2105</v>
      </c>
      <c r="BE32" s="113">
        <v>80.311211999999998</v>
      </c>
      <c r="BF32" s="113">
        <f t="shared" si="14"/>
        <v>10049.484280000001</v>
      </c>
      <c r="BG32" s="113">
        <f t="shared" si="15"/>
        <v>167597.74850500003</v>
      </c>
      <c r="BK32" s="122"/>
    </row>
    <row r="33" spans="2:63" ht="12.75" customHeight="1" x14ac:dyDescent="0.2">
      <c r="B33" s="18">
        <v>1208</v>
      </c>
      <c r="C33" s="12" t="s">
        <v>218</v>
      </c>
      <c r="D33" s="16">
        <v>62365.542776000002</v>
      </c>
      <c r="E33" s="16"/>
      <c r="F33" s="16">
        <v>434.19432699999999</v>
      </c>
      <c r="G33" s="16">
        <v>886.03797199999997</v>
      </c>
      <c r="H33" s="16">
        <v>775.30483300000003</v>
      </c>
      <c r="I33" s="16"/>
      <c r="J33" s="16">
        <f t="shared" si="21"/>
        <v>64461.079908</v>
      </c>
      <c r="K33" s="16"/>
      <c r="L33" s="16">
        <v>334.28039000000001</v>
      </c>
      <c r="M33" s="16">
        <v>2009.6979819999999</v>
      </c>
      <c r="N33" s="16">
        <f t="shared" si="5"/>
        <v>2343.978372</v>
      </c>
      <c r="O33" s="16">
        <f t="shared" si="1"/>
        <v>66805.058279999997</v>
      </c>
      <c r="P33" s="113">
        <v>65148.721255484488</v>
      </c>
      <c r="Q33" s="113"/>
      <c r="R33" s="113">
        <v>968.031924</v>
      </c>
      <c r="S33" s="113">
        <v>808.84996999999998</v>
      </c>
      <c r="T33" s="113">
        <v>2296.5036675155111</v>
      </c>
      <c r="U33" s="113">
        <v>798.46914929819275</v>
      </c>
      <c r="V33" s="113">
        <f t="shared" si="7"/>
        <v>70020.575966298187</v>
      </c>
      <c r="W33" s="113"/>
      <c r="X33" s="113">
        <v>404.23035499999997</v>
      </c>
      <c r="Y33" s="113">
        <v>2241.6621990936419</v>
      </c>
      <c r="Z33" s="113">
        <v>6221.4658399999998</v>
      </c>
      <c r="AA33" s="113">
        <v>0</v>
      </c>
      <c r="AB33" s="113">
        <f t="shared" si="22"/>
        <v>8867.3583940936423</v>
      </c>
      <c r="AC33" s="113">
        <f t="shared" si="9"/>
        <v>78887.934360391824</v>
      </c>
      <c r="AD33" s="113">
        <v>67624.372663118891</v>
      </c>
      <c r="AE33" s="113">
        <v>2383.7708068811007</v>
      </c>
      <c r="AF33" s="113"/>
      <c r="AG33" s="113">
        <v>1565.463356</v>
      </c>
      <c r="AH33" s="113">
        <v>803.31794100000002</v>
      </c>
      <c r="AI33" s="113">
        <v>3145.74883</v>
      </c>
      <c r="AJ33" s="113">
        <v>1123.653542</v>
      </c>
      <c r="AK33" s="113">
        <f t="shared" si="19"/>
        <v>76646.327138999986</v>
      </c>
      <c r="AL33" s="113"/>
      <c r="AM33" s="119">
        <v>2046.057519</v>
      </c>
      <c r="AN33" s="113">
        <v>4670.8636509999997</v>
      </c>
      <c r="AO33" s="113">
        <v>3626.5566009999998</v>
      </c>
      <c r="AP33" s="113">
        <v>0</v>
      </c>
      <c r="AQ33" s="113">
        <f t="shared" si="23"/>
        <v>10343.477771</v>
      </c>
      <c r="AR33" s="113">
        <f t="shared" si="20"/>
        <v>86989.804909999992</v>
      </c>
      <c r="AS33" s="113">
        <v>68713.125062965119</v>
      </c>
      <c r="AT33" s="113">
        <v>2422.1495168718866</v>
      </c>
      <c r="AU33" s="113">
        <v>3196.3953861629998</v>
      </c>
      <c r="AV33" s="5"/>
      <c r="AW33" s="113">
        <v>1370.6080919999999</v>
      </c>
      <c r="AX33" s="113">
        <v>3756.1723499999998</v>
      </c>
      <c r="AY33" s="113">
        <v>517.41946099999996</v>
      </c>
      <c r="AZ33" s="113">
        <f t="shared" si="13"/>
        <v>79975.869868999987</v>
      </c>
      <c r="BA33" s="5"/>
      <c r="BB33" s="113">
        <v>2059.9945459999999</v>
      </c>
      <c r="BC33" s="113">
        <v>5651.0386600000002</v>
      </c>
      <c r="BD33" s="113">
        <v>2222.5568349999999</v>
      </c>
      <c r="BE33" s="113">
        <v>0</v>
      </c>
      <c r="BF33" s="113">
        <f t="shared" si="14"/>
        <v>9933.5900409999995</v>
      </c>
      <c r="BG33" s="113">
        <f t="shared" si="15"/>
        <v>89909.45990999999</v>
      </c>
      <c r="BK33" s="122"/>
    </row>
    <row r="34" spans="2:63" s="11" customFormat="1" ht="12.75" customHeight="1" x14ac:dyDescent="0.2">
      <c r="B34" s="115">
        <v>1207</v>
      </c>
      <c r="C34" s="13" t="s">
        <v>217</v>
      </c>
      <c r="D34" s="16">
        <v>53323.276104999997</v>
      </c>
      <c r="E34" s="16"/>
      <c r="F34" s="16">
        <v>534.555115</v>
      </c>
      <c r="G34" s="16">
        <v>1144.765142</v>
      </c>
      <c r="H34" s="16">
        <v>709.55605000000003</v>
      </c>
      <c r="I34" s="16"/>
      <c r="J34" s="16">
        <f t="shared" si="21"/>
        <v>55712.152411999996</v>
      </c>
      <c r="K34" s="16"/>
      <c r="L34" s="16">
        <v>1982.7771929999999</v>
      </c>
      <c r="M34" s="16">
        <v>2458.5519220000001</v>
      </c>
      <c r="N34" s="16">
        <f t="shared" si="5"/>
        <v>4441.3291150000005</v>
      </c>
      <c r="O34" s="16">
        <f t="shared" si="1"/>
        <v>60153.481526999996</v>
      </c>
      <c r="P34" s="113">
        <v>55751.071675570027</v>
      </c>
      <c r="Q34" s="113"/>
      <c r="R34" s="113">
        <v>922.66845999999998</v>
      </c>
      <c r="S34" s="113">
        <v>1295.517296</v>
      </c>
      <c r="T34" s="113">
        <v>2502.8413964299698</v>
      </c>
      <c r="U34" s="113">
        <v>887.48964996268057</v>
      </c>
      <c r="V34" s="113">
        <f t="shared" si="7"/>
        <v>61359.588477962672</v>
      </c>
      <c r="W34" s="113"/>
      <c r="X34" s="113">
        <v>1454.7432659999999</v>
      </c>
      <c r="Y34" s="113">
        <v>2381.918414536035</v>
      </c>
      <c r="Z34" s="113">
        <v>5393.2268549999999</v>
      </c>
      <c r="AA34" s="113">
        <v>0</v>
      </c>
      <c r="AB34" s="113">
        <f t="shared" si="22"/>
        <v>9229.8885355360344</v>
      </c>
      <c r="AC34" s="113">
        <f t="shared" si="9"/>
        <v>70589.477013498705</v>
      </c>
      <c r="AD34" s="113">
        <v>57869.612399505684</v>
      </c>
      <c r="AE34" s="113">
        <v>2597.9493694943089</v>
      </c>
      <c r="AF34" s="113"/>
      <c r="AG34" s="113">
        <v>1235.9534619999999</v>
      </c>
      <c r="AH34" s="113">
        <v>1415.8263219999999</v>
      </c>
      <c r="AI34" s="113">
        <v>2924.365843</v>
      </c>
      <c r="AJ34" s="113">
        <v>1030.476658</v>
      </c>
      <c r="AK34" s="113">
        <f t="shared" si="19"/>
        <v>67074.184053999998</v>
      </c>
      <c r="AL34" s="113"/>
      <c r="AM34" s="119">
        <v>3210.426199</v>
      </c>
      <c r="AN34" s="113">
        <v>3692.9421090000001</v>
      </c>
      <c r="AO34" s="113">
        <v>3143.8803210000001</v>
      </c>
      <c r="AP34" s="113">
        <v>0</v>
      </c>
      <c r="AQ34" s="113">
        <f t="shared" si="23"/>
        <v>10047.248629</v>
      </c>
      <c r="AR34" s="113">
        <f t="shared" si="20"/>
        <v>77121.432682999992</v>
      </c>
      <c r="AS34" s="113">
        <v>58801.313159584533</v>
      </c>
      <c r="AT34" s="113">
        <v>2639.7763543431674</v>
      </c>
      <c r="AU34" s="113">
        <v>2971.4481330723002</v>
      </c>
      <c r="AV34" s="5"/>
      <c r="AW34" s="113">
        <v>2759.7129180000002</v>
      </c>
      <c r="AX34" s="113">
        <v>3564.2538789999999</v>
      </c>
      <c r="AY34" s="113">
        <v>534.90878299999997</v>
      </c>
      <c r="AZ34" s="113">
        <f t="shared" si="13"/>
        <v>71271.413226999997</v>
      </c>
      <c r="BA34" s="5"/>
      <c r="BB34" s="113">
        <v>2581.8653650000001</v>
      </c>
      <c r="BC34" s="113">
        <v>5503.3024990000004</v>
      </c>
      <c r="BD34" s="113">
        <v>2084.0535110000001</v>
      </c>
      <c r="BE34" s="113">
        <v>0</v>
      </c>
      <c r="BF34" s="113">
        <f t="shared" si="14"/>
        <v>10169.221375000001</v>
      </c>
      <c r="BG34" s="113">
        <f t="shared" si="15"/>
        <v>81440.634602000006</v>
      </c>
      <c r="BI34" s="2"/>
      <c r="BJ34" s="2"/>
      <c r="BK34" s="122"/>
    </row>
    <row r="35" spans="2:63" ht="12.75" customHeight="1" x14ac:dyDescent="0.2">
      <c r="B35" s="18">
        <v>1203</v>
      </c>
      <c r="C35" s="12" t="s">
        <v>212</v>
      </c>
      <c r="D35" s="16">
        <v>250849.78542199999</v>
      </c>
      <c r="E35" s="16"/>
      <c r="F35" s="16">
        <v>818.250404</v>
      </c>
      <c r="G35" s="16">
        <v>1107.7595710000001</v>
      </c>
      <c r="H35" s="16">
        <v>1711.700623</v>
      </c>
      <c r="I35" s="16"/>
      <c r="J35" s="16">
        <f t="shared" si="21"/>
        <v>254487.49601999999</v>
      </c>
      <c r="K35" s="16"/>
      <c r="L35" s="16">
        <v>1272.6503110000001</v>
      </c>
      <c r="M35" s="16">
        <v>2864.3962280000001</v>
      </c>
      <c r="N35" s="16">
        <f t="shared" si="5"/>
        <v>4137.0465389999999</v>
      </c>
      <c r="O35" s="16">
        <f t="shared" si="1"/>
        <v>258624.54255899999</v>
      </c>
      <c r="P35" s="113">
        <v>260592.92007069127</v>
      </c>
      <c r="Q35" s="113"/>
      <c r="R35" s="113">
        <v>1287.9147270000001</v>
      </c>
      <c r="S35" s="113">
        <v>1019.019697</v>
      </c>
      <c r="T35" s="113">
        <v>7631.0317853087399</v>
      </c>
      <c r="U35" s="113">
        <v>1115.9829543856206</v>
      </c>
      <c r="V35" s="113">
        <f t="shared" si="7"/>
        <v>271646.86923438561</v>
      </c>
      <c r="W35" s="113"/>
      <c r="X35" s="113">
        <v>1380.3759250000001</v>
      </c>
      <c r="Y35" s="113">
        <v>2748.423140156051</v>
      </c>
      <c r="Z35" s="113">
        <v>11922.596246999999</v>
      </c>
      <c r="AA35" s="113">
        <v>0</v>
      </c>
      <c r="AB35" s="113">
        <f t="shared" si="22"/>
        <v>16051.395312156052</v>
      </c>
      <c r="AC35" s="113">
        <f t="shared" si="9"/>
        <v>287698.26454654167</v>
      </c>
      <c r="AD35" s="113">
        <v>270495.45103384956</v>
      </c>
      <c r="AE35" s="113">
        <v>7921.0109931504721</v>
      </c>
      <c r="AF35" s="113"/>
      <c r="AG35" s="113">
        <v>1720.8877170000001</v>
      </c>
      <c r="AH35" s="113">
        <v>1101.783095</v>
      </c>
      <c r="AI35" s="113">
        <v>8487.0670690000006</v>
      </c>
      <c r="AJ35" s="113">
        <v>1573.2096939999999</v>
      </c>
      <c r="AK35" s="113">
        <f t="shared" si="19"/>
        <v>291299.40960200003</v>
      </c>
      <c r="AL35" s="113"/>
      <c r="AM35" s="119">
        <v>3673.0770940000002</v>
      </c>
      <c r="AN35" s="113">
        <v>6065.1951600000002</v>
      </c>
      <c r="AO35" s="113">
        <v>7281.5930539999999</v>
      </c>
      <c r="AP35" s="113">
        <v>0</v>
      </c>
      <c r="AQ35" s="113">
        <f t="shared" si="23"/>
        <v>17019.865308</v>
      </c>
      <c r="AR35" s="113">
        <f t="shared" si="20"/>
        <v>308319.27491000004</v>
      </c>
      <c r="AS35" s="113">
        <v>274850.42779504892</v>
      </c>
      <c r="AT35" s="113">
        <v>8048.5392701401952</v>
      </c>
      <c r="AU35" s="113">
        <v>8623.7088488109002</v>
      </c>
      <c r="AV35" s="5"/>
      <c r="AW35" s="113">
        <v>1447.638185</v>
      </c>
      <c r="AX35" s="113">
        <v>10066.823044999999</v>
      </c>
      <c r="AY35" s="113">
        <v>748.29641000000004</v>
      </c>
      <c r="AZ35" s="113">
        <f t="shared" si="13"/>
        <v>303785.43355400005</v>
      </c>
      <c r="BA35" s="5"/>
      <c r="BB35" s="113">
        <v>3864.9580050000004</v>
      </c>
      <c r="BC35" s="113">
        <v>7212.4302530000004</v>
      </c>
      <c r="BD35" s="113">
        <v>4843.5310300000001</v>
      </c>
      <c r="BE35" s="113">
        <v>0</v>
      </c>
      <c r="BF35" s="113">
        <f t="shared" si="14"/>
        <v>15920.919288000001</v>
      </c>
      <c r="BG35" s="113">
        <f t="shared" si="15"/>
        <v>319706.35284200002</v>
      </c>
      <c r="BK35" s="122"/>
    </row>
    <row r="36" spans="2:63" ht="12.75" customHeight="1" x14ac:dyDescent="0.2">
      <c r="B36" s="18">
        <v>1301</v>
      </c>
      <c r="C36" s="12" t="s">
        <v>276</v>
      </c>
      <c r="D36" s="16">
        <v>22019.725544000001</v>
      </c>
      <c r="E36" s="16"/>
      <c r="F36" s="16">
        <v>837.68993699999999</v>
      </c>
      <c r="G36" s="16">
        <v>793.09240399999999</v>
      </c>
      <c r="H36" s="16">
        <v>812.12361899999996</v>
      </c>
      <c r="I36" s="16"/>
      <c r="J36" s="16">
        <f t="shared" si="21"/>
        <v>24462.631503999997</v>
      </c>
      <c r="K36" s="16"/>
      <c r="L36" s="16">
        <v>1064.4829580000001</v>
      </c>
      <c r="M36" s="16">
        <v>2510.1004619999999</v>
      </c>
      <c r="N36" s="16">
        <f t="shared" si="5"/>
        <v>3574.5834199999999</v>
      </c>
      <c r="O36" s="16">
        <f t="shared" si="1"/>
        <v>28037.214923999996</v>
      </c>
      <c r="P36" s="113">
        <v>23557.900046730247</v>
      </c>
      <c r="Q36" s="113"/>
      <c r="R36" s="113">
        <v>878.36474699999997</v>
      </c>
      <c r="S36" s="113">
        <v>845.69859399999996</v>
      </c>
      <c r="T36" s="113">
        <v>1957.2602202697549</v>
      </c>
      <c r="U36" s="113">
        <v>558.34142840975824</v>
      </c>
      <c r="V36" s="113">
        <f t="shared" si="7"/>
        <v>27797.565036409764</v>
      </c>
      <c r="W36" s="113"/>
      <c r="X36" s="113">
        <v>913.05544699999996</v>
      </c>
      <c r="Y36" s="113">
        <v>2175.5126872989481</v>
      </c>
      <c r="Z36" s="113">
        <v>7891.2429549999997</v>
      </c>
      <c r="AA36" s="113">
        <v>0</v>
      </c>
      <c r="AB36" s="113">
        <f t="shared" si="22"/>
        <v>10979.811089298948</v>
      </c>
      <c r="AC36" s="113">
        <f t="shared" si="9"/>
        <v>38777.37612570871</v>
      </c>
      <c r="AD36" s="113">
        <v>24453.100248359995</v>
      </c>
      <c r="AE36" s="113">
        <v>2031.6361086400057</v>
      </c>
      <c r="AF36" s="113"/>
      <c r="AG36" s="113">
        <v>1224.212632</v>
      </c>
      <c r="AH36" s="113">
        <v>674.65788099999997</v>
      </c>
      <c r="AI36" s="113">
        <v>2185.5718139999999</v>
      </c>
      <c r="AJ36" s="113">
        <v>1269.9958859999999</v>
      </c>
      <c r="AK36" s="113">
        <f t="shared" si="19"/>
        <v>31839.174569999999</v>
      </c>
      <c r="AL36" s="113"/>
      <c r="AM36" s="119">
        <v>3077.2274090000001</v>
      </c>
      <c r="AN36" s="113">
        <v>4892.4716369999996</v>
      </c>
      <c r="AO36" s="113">
        <v>4162.1639539999996</v>
      </c>
      <c r="AP36" s="113">
        <v>0</v>
      </c>
      <c r="AQ36" s="113">
        <f t="shared" si="23"/>
        <v>12131.862999999999</v>
      </c>
      <c r="AR36" s="113">
        <f t="shared" si="20"/>
        <v>43971.03757</v>
      </c>
      <c r="AS36" s="113">
        <v>24846.795162805491</v>
      </c>
      <c r="AT36" s="113">
        <v>2064.34544998911</v>
      </c>
      <c r="AU36" s="113">
        <v>2220.7595202053999</v>
      </c>
      <c r="AV36" s="5"/>
      <c r="AW36" s="113">
        <v>1102.272377</v>
      </c>
      <c r="AX36" s="113">
        <v>2744.4992120000002</v>
      </c>
      <c r="AY36" s="113">
        <v>649.75294699999995</v>
      </c>
      <c r="AZ36" s="113">
        <f t="shared" si="13"/>
        <v>33628.424669</v>
      </c>
      <c r="BA36" s="5"/>
      <c r="BB36" s="113">
        <v>3057.3944270000002</v>
      </c>
      <c r="BC36" s="113">
        <v>6206.0675110000002</v>
      </c>
      <c r="BD36" s="113">
        <v>2478.9685880000002</v>
      </c>
      <c r="BE36" s="113">
        <v>0</v>
      </c>
      <c r="BF36" s="113">
        <f t="shared" si="14"/>
        <v>11742.430526</v>
      </c>
      <c r="BG36" s="113">
        <f t="shared" si="15"/>
        <v>45370.855194999996</v>
      </c>
      <c r="BK36" s="122"/>
    </row>
    <row r="37" spans="2:63" ht="12.75" customHeight="1" x14ac:dyDescent="0.2">
      <c r="B37" s="18">
        <v>1204</v>
      </c>
      <c r="C37" s="12" t="s">
        <v>213</v>
      </c>
      <c r="D37" s="16">
        <v>133401.08201899999</v>
      </c>
      <c r="E37" s="16"/>
      <c r="F37" s="16">
        <v>739.33426799999995</v>
      </c>
      <c r="G37" s="16">
        <v>552.08432400000004</v>
      </c>
      <c r="H37" s="16">
        <v>1300.8114089999999</v>
      </c>
      <c r="I37" s="16"/>
      <c r="J37" s="16">
        <f t="shared" si="21"/>
        <v>135993.31201999998</v>
      </c>
      <c r="K37" s="16"/>
      <c r="L37" s="16">
        <v>1073.847121</v>
      </c>
      <c r="M37" s="16">
        <v>2729.3285040000001</v>
      </c>
      <c r="N37" s="16">
        <f t="shared" si="5"/>
        <v>3803.1756249999999</v>
      </c>
      <c r="O37" s="16">
        <f t="shared" si="1"/>
        <v>139796.48764499999</v>
      </c>
      <c r="P37" s="113">
        <v>138985.40231655675</v>
      </c>
      <c r="Q37" s="113"/>
      <c r="R37" s="113">
        <v>1113.3463710000001</v>
      </c>
      <c r="S37" s="113">
        <v>640.716904</v>
      </c>
      <c r="T37" s="113">
        <v>4291.0418994432439</v>
      </c>
      <c r="U37" s="113">
        <v>946.3503691623273</v>
      </c>
      <c r="V37" s="113">
        <f t="shared" si="7"/>
        <v>145976.85786016233</v>
      </c>
      <c r="W37" s="113"/>
      <c r="X37" s="113">
        <v>1229.7244290000001</v>
      </c>
      <c r="Y37" s="113">
        <v>2680.8869018155033</v>
      </c>
      <c r="Z37" s="113">
        <v>10461.964489</v>
      </c>
      <c r="AA37" s="113">
        <v>0</v>
      </c>
      <c r="AB37" s="113">
        <f t="shared" si="22"/>
        <v>14372.575819815504</v>
      </c>
      <c r="AC37" s="113">
        <f t="shared" si="9"/>
        <v>160349.43367997784</v>
      </c>
      <c r="AD37" s="113">
        <v>144266.84760437789</v>
      </c>
      <c r="AE37" s="113">
        <v>4454.1014916220875</v>
      </c>
      <c r="AF37" s="113"/>
      <c r="AG37" s="113">
        <v>1529.601289</v>
      </c>
      <c r="AH37" s="113">
        <v>506.67795999999998</v>
      </c>
      <c r="AI37" s="113">
        <v>5074.3984380000002</v>
      </c>
      <c r="AJ37" s="113">
        <v>1267.3537879999999</v>
      </c>
      <c r="AK37" s="113">
        <f t="shared" si="19"/>
        <v>157098.98057099999</v>
      </c>
      <c r="AL37" s="113"/>
      <c r="AM37" s="119">
        <v>2761.7909890000001</v>
      </c>
      <c r="AN37" s="113">
        <v>5060.6697210000002</v>
      </c>
      <c r="AO37" s="113">
        <v>6410.1141360000001</v>
      </c>
      <c r="AP37" s="113">
        <v>0</v>
      </c>
      <c r="AQ37" s="113">
        <f t="shared" si="23"/>
        <v>14232.574846</v>
      </c>
      <c r="AR37" s="113">
        <f t="shared" si="20"/>
        <v>171331.555417</v>
      </c>
      <c r="AS37" s="113">
        <v>146589.54385051099</v>
      </c>
      <c r="AT37" s="113">
        <v>4525.8125256372032</v>
      </c>
      <c r="AU37" s="113">
        <v>5156.0962528518003</v>
      </c>
      <c r="AV37" s="5"/>
      <c r="AW37" s="113">
        <v>1173.3171380000001</v>
      </c>
      <c r="AX37" s="113">
        <v>6250.2198589999998</v>
      </c>
      <c r="AY37" s="113">
        <v>668.91993500000001</v>
      </c>
      <c r="AZ37" s="113">
        <f t="shared" si="13"/>
        <v>164363.90956100004</v>
      </c>
      <c r="BA37" s="5"/>
      <c r="BB37" s="113">
        <v>3069.6496809999999</v>
      </c>
      <c r="BC37" s="113">
        <v>6669.3146310000002</v>
      </c>
      <c r="BD37" s="113">
        <v>4261.3709669999998</v>
      </c>
      <c r="BE37" s="113">
        <v>0</v>
      </c>
      <c r="BF37" s="113">
        <f t="shared" si="14"/>
        <v>14000.335278999999</v>
      </c>
      <c r="BG37" s="113">
        <f t="shared" si="15"/>
        <v>178364.24484000003</v>
      </c>
      <c r="BK37" s="122"/>
    </row>
    <row r="38" spans="2:63" ht="12.75" customHeight="1" x14ac:dyDescent="0.2">
      <c r="B38" s="18">
        <v>1213</v>
      </c>
      <c r="C38" s="12" t="s">
        <v>277</v>
      </c>
      <c r="D38" s="16">
        <v>59544.532255999999</v>
      </c>
      <c r="E38" s="16"/>
      <c r="F38" s="16">
        <v>624.92849999999999</v>
      </c>
      <c r="G38" s="16">
        <v>511.33167400000002</v>
      </c>
      <c r="H38" s="16">
        <v>813.39045299999998</v>
      </c>
      <c r="I38" s="16"/>
      <c r="J38" s="16">
        <f t="shared" si="21"/>
        <v>61494.182883000001</v>
      </c>
      <c r="K38" s="16"/>
      <c r="L38" s="16">
        <v>1007.0179900000001</v>
      </c>
      <c r="M38" s="16">
        <v>2438.9523410000002</v>
      </c>
      <c r="N38" s="16">
        <f t="shared" si="5"/>
        <v>3445.9703310000004</v>
      </c>
      <c r="O38" s="16">
        <f t="shared" si="1"/>
        <v>64940.153214000005</v>
      </c>
      <c r="P38" s="113">
        <v>62277.299577146063</v>
      </c>
      <c r="Q38" s="113"/>
      <c r="R38" s="113">
        <v>1000.5619380000001</v>
      </c>
      <c r="S38" s="113">
        <v>674.24991199999999</v>
      </c>
      <c r="T38" s="113">
        <v>2593.3392508539382</v>
      </c>
      <c r="U38" s="113">
        <v>721.44952823967719</v>
      </c>
      <c r="V38" s="113">
        <f t="shared" si="7"/>
        <v>67266.900206239676</v>
      </c>
      <c r="W38" s="113"/>
      <c r="X38" s="113">
        <v>1339.7217860000001</v>
      </c>
      <c r="Y38" s="113">
        <v>2227.7861539620221</v>
      </c>
      <c r="Z38" s="113">
        <v>6901.7454049999997</v>
      </c>
      <c r="AA38" s="113">
        <v>0</v>
      </c>
      <c r="AB38" s="113">
        <f t="shared" si="22"/>
        <v>10469.253344962022</v>
      </c>
      <c r="AC38" s="113">
        <f t="shared" si="9"/>
        <v>77736.1535512017</v>
      </c>
      <c r="AD38" s="113">
        <v>64643.836960613611</v>
      </c>
      <c r="AE38" s="113">
        <v>2691.8861423863877</v>
      </c>
      <c r="AF38" s="113"/>
      <c r="AG38" s="113">
        <v>1348.031117</v>
      </c>
      <c r="AH38" s="113">
        <v>992.97288000000003</v>
      </c>
      <c r="AI38" s="113">
        <v>3120.075151</v>
      </c>
      <c r="AJ38" s="113">
        <v>1075.642576</v>
      </c>
      <c r="AK38" s="113">
        <f t="shared" si="19"/>
        <v>73872.444826999999</v>
      </c>
      <c r="AL38" s="113"/>
      <c r="AM38" s="119">
        <v>2680.4019699999999</v>
      </c>
      <c r="AN38" s="113">
        <v>4346.2288230000004</v>
      </c>
      <c r="AO38" s="113">
        <v>4539.6519040000003</v>
      </c>
      <c r="AP38" s="113">
        <v>0</v>
      </c>
      <c r="AQ38" s="113">
        <f t="shared" si="23"/>
        <v>11566.282697000001</v>
      </c>
      <c r="AR38" s="113">
        <f t="shared" si="20"/>
        <v>85438.727524000002</v>
      </c>
      <c r="AS38" s="113">
        <v>65684.602735790089</v>
      </c>
      <c r="AT38" s="113">
        <v>2735.2255092788087</v>
      </c>
      <c r="AU38" s="113">
        <v>3170.3083609311002</v>
      </c>
      <c r="AV38" s="5"/>
      <c r="AW38" s="113">
        <v>2541.4621969999998</v>
      </c>
      <c r="AX38" s="113">
        <v>3908.7144229999999</v>
      </c>
      <c r="AY38" s="113">
        <v>573.47805400000004</v>
      </c>
      <c r="AZ38" s="113">
        <f t="shared" si="13"/>
        <v>78613.791280000005</v>
      </c>
      <c r="BA38" s="5"/>
      <c r="BB38" s="113">
        <v>2452.9005179999999</v>
      </c>
      <c r="BC38" s="113">
        <v>5791.1516959999999</v>
      </c>
      <c r="BD38" s="113">
        <v>2988.1705360000001</v>
      </c>
      <c r="BE38" s="113">
        <v>0</v>
      </c>
      <c r="BF38" s="113">
        <f t="shared" si="14"/>
        <v>11232.222749999999</v>
      </c>
      <c r="BG38" s="113">
        <f t="shared" si="15"/>
        <v>89846.014030000006</v>
      </c>
      <c r="BK38" s="122"/>
    </row>
    <row r="39" spans="2:63" s="24" customFormat="1" x14ac:dyDescent="0.2">
      <c r="B39" s="18">
        <v>1209</v>
      </c>
      <c r="C39" s="22" t="s">
        <v>278</v>
      </c>
      <c r="D39" s="16">
        <v>42630.792590999998</v>
      </c>
      <c r="E39" s="23"/>
      <c r="F39" s="16">
        <v>455.92031200000002</v>
      </c>
      <c r="G39" s="16">
        <v>377.26666499999999</v>
      </c>
      <c r="H39" s="16">
        <v>642.65984200000003</v>
      </c>
      <c r="I39" s="16"/>
      <c r="J39" s="16">
        <f t="shared" si="21"/>
        <v>44106.639410000003</v>
      </c>
      <c r="K39" s="23"/>
      <c r="L39" s="16">
        <v>808.75374399999998</v>
      </c>
      <c r="M39" s="16">
        <v>1911.5849470000001</v>
      </c>
      <c r="N39" s="16">
        <f t="shared" si="5"/>
        <v>2720.3386909999999</v>
      </c>
      <c r="O39" s="16">
        <f t="shared" si="1"/>
        <v>46826.978101000001</v>
      </c>
      <c r="P39" s="113">
        <v>44649.544583117437</v>
      </c>
      <c r="Q39" s="113"/>
      <c r="R39" s="113">
        <v>893.821324</v>
      </c>
      <c r="S39" s="113">
        <v>379.15265099999999</v>
      </c>
      <c r="T39" s="113">
        <v>2485.3645358825588</v>
      </c>
      <c r="U39" s="113">
        <v>861.64305284341583</v>
      </c>
      <c r="V39" s="113">
        <f t="shared" si="7"/>
        <v>49269.526146843404</v>
      </c>
      <c r="W39" s="113"/>
      <c r="X39" s="113">
        <v>1015.346155</v>
      </c>
      <c r="Y39" s="113">
        <v>2358.3871770243027</v>
      </c>
      <c r="Z39" s="113">
        <v>4038.3868729999999</v>
      </c>
      <c r="AA39" s="113">
        <v>0</v>
      </c>
      <c r="AB39" s="113">
        <f t="shared" si="22"/>
        <v>7412.1202050243028</v>
      </c>
      <c r="AC39" s="113">
        <f t="shared" si="9"/>
        <v>56681.646351867705</v>
      </c>
      <c r="AD39" s="113">
        <v>46346.227277753904</v>
      </c>
      <c r="AE39" s="113">
        <v>2579.808388246096</v>
      </c>
      <c r="AF39" s="113"/>
      <c r="AG39" s="113">
        <v>1198.882713</v>
      </c>
      <c r="AH39" s="113">
        <v>407.36363699999998</v>
      </c>
      <c r="AI39" s="113">
        <v>2750.9425080000001</v>
      </c>
      <c r="AJ39" s="113">
        <v>1164.9677079999999</v>
      </c>
      <c r="AK39" s="113">
        <f t="shared" si="19"/>
        <v>54448.192231999994</v>
      </c>
      <c r="AL39" s="113"/>
      <c r="AM39" s="119">
        <v>2086.8175590000001</v>
      </c>
      <c r="AN39" s="113">
        <v>4238.5680899999998</v>
      </c>
      <c r="AO39" s="113">
        <v>2457.8546470000001</v>
      </c>
      <c r="AP39" s="113">
        <v>0</v>
      </c>
      <c r="AQ39" s="113">
        <f t="shared" si="23"/>
        <v>8783.2402959999999</v>
      </c>
      <c r="AR39" s="113">
        <f t="shared" si="20"/>
        <v>63231.43252799999</v>
      </c>
      <c r="AS39" s="113">
        <v>47092.401537324338</v>
      </c>
      <c r="AT39" s="113">
        <v>2621.3433032968583</v>
      </c>
      <c r="AU39" s="113">
        <v>2795.2326823788003</v>
      </c>
      <c r="AV39" s="5"/>
      <c r="AW39" s="113">
        <v>733.10868400000004</v>
      </c>
      <c r="AX39" s="113">
        <v>3389.2566120000001</v>
      </c>
      <c r="AY39" s="113">
        <v>563.24556900000005</v>
      </c>
      <c r="AZ39" s="113">
        <f t="shared" si="13"/>
        <v>57194.588387999996</v>
      </c>
      <c r="BA39" s="73"/>
      <c r="BB39" s="113">
        <v>1991.510348</v>
      </c>
      <c r="BC39" s="113">
        <v>5128.3929779999999</v>
      </c>
      <c r="BD39" s="113">
        <v>1499.9926149999999</v>
      </c>
      <c r="BE39" s="113">
        <v>0</v>
      </c>
      <c r="BF39" s="113">
        <f t="shared" si="14"/>
        <v>8619.8959409999989</v>
      </c>
      <c r="BG39" s="113">
        <f t="shared" si="15"/>
        <v>65814.484328999999</v>
      </c>
      <c r="BI39" s="2"/>
      <c r="BJ39" s="2"/>
      <c r="BK39" s="122"/>
    </row>
    <row r="40" spans="2:63" s="24" customFormat="1" x14ac:dyDescent="0.2">
      <c r="B40" s="18">
        <v>1210</v>
      </c>
      <c r="C40" s="22" t="s">
        <v>279</v>
      </c>
      <c r="D40" s="16">
        <v>20618.670238999999</v>
      </c>
      <c r="E40" s="23"/>
      <c r="F40" s="16">
        <v>502.30109800000002</v>
      </c>
      <c r="G40" s="16">
        <v>38.659695999999997</v>
      </c>
      <c r="H40" s="16">
        <v>497.29350099999999</v>
      </c>
      <c r="I40" s="16"/>
      <c r="J40" s="16">
        <f t="shared" si="21"/>
        <v>21656.924533999998</v>
      </c>
      <c r="K40" s="23"/>
      <c r="L40" s="16">
        <v>186.67693700000001</v>
      </c>
      <c r="M40" s="16">
        <v>1435.3203100000001</v>
      </c>
      <c r="N40" s="16">
        <f t="shared" si="5"/>
        <v>1621.997247</v>
      </c>
      <c r="O40" s="16">
        <f t="shared" si="1"/>
        <v>23278.921780999997</v>
      </c>
      <c r="P40" s="113">
        <v>21787.449611838209</v>
      </c>
      <c r="Q40" s="113"/>
      <c r="R40" s="113">
        <v>748.78738399999997</v>
      </c>
      <c r="S40" s="113">
        <v>64.852020999999993</v>
      </c>
      <c r="T40" s="113">
        <v>828.48235816178976</v>
      </c>
      <c r="U40" s="113">
        <v>598.94942211057185</v>
      </c>
      <c r="V40" s="113">
        <f t="shared" si="7"/>
        <v>24028.520797110566</v>
      </c>
      <c r="W40" s="113"/>
      <c r="X40" s="113">
        <v>197.54395600000001</v>
      </c>
      <c r="Y40" s="113">
        <v>2409.6714851206348</v>
      </c>
      <c r="Z40" s="113">
        <v>2542.3243510000002</v>
      </c>
      <c r="AA40" s="113">
        <v>0</v>
      </c>
      <c r="AB40" s="113">
        <f t="shared" si="22"/>
        <v>5149.539792120635</v>
      </c>
      <c r="AC40" s="113">
        <f t="shared" si="9"/>
        <v>29178.060589231201</v>
      </c>
      <c r="AD40" s="113">
        <v>22615.372697228064</v>
      </c>
      <c r="AE40" s="113">
        <v>859.96468777193775</v>
      </c>
      <c r="AF40" s="113"/>
      <c r="AG40" s="113">
        <v>1075.1651380000001</v>
      </c>
      <c r="AH40" s="113">
        <v>81.091032999999996</v>
      </c>
      <c r="AI40" s="113">
        <v>2154.0115019999998</v>
      </c>
      <c r="AJ40" s="113">
        <v>1090.6777959999999</v>
      </c>
      <c r="AK40" s="113">
        <f t="shared" si="19"/>
        <v>27876.282854000005</v>
      </c>
      <c r="AL40" s="113"/>
      <c r="AM40" s="119">
        <v>639.53918799999997</v>
      </c>
      <c r="AN40" s="113">
        <v>3830.4159260000001</v>
      </c>
      <c r="AO40" s="113">
        <v>1592.1545000000001</v>
      </c>
      <c r="AP40" s="113">
        <v>0</v>
      </c>
      <c r="AQ40" s="113">
        <f t="shared" si="23"/>
        <v>6062.1096140000009</v>
      </c>
      <c r="AR40" s="113">
        <f t="shared" si="20"/>
        <v>33938.392468000005</v>
      </c>
      <c r="AS40" s="113">
        <v>22979.480197572731</v>
      </c>
      <c r="AT40" s="113">
        <v>873.81011924506595</v>
      </c>
      <c r="AU40" s="113">
        <v>2188.6910871821997</v>
      </c>
      <c r="AV40" s="5"/>
      <c r="AW40" s="113">
        <v>163.53162399999999</v>
      </c>
      <c r="AX40" s="113">
        <v>2549.7891089999998</v>
      </c>
      <c r="AY40" s="113">
        <v>492.96583399999997</v>
      </c>
      <c r="AZ40" s="113">
        <f t="shared" si="13"/>
        <v>29248.267970999997</v>
      </c>
      <c r="BA40" s="73"/>
      <c r="BB40" s="113">
        <v>809.93910099999994</v>
      </c>
      <c r="BC40" s="113">
        <v>4460.2056270000003</v>
      </c>
      <c r="BD40" s="113">
        <v>1172.599778</v>
      </c>
      <c r="BE40" s="113">
        <v>0</v>
      </c>
      <c r="BF40" s="113">
        <f t="shared" si="14"/>
        <v>6442.744506</v>
      </c>
      <c r="BG40" s="113">
        <f t="shared" si="15"/>
        <v>35691.012476999997</v>
      </c>
      <c r="BI40" s="2"/>
      <c r="BJ40" s="2"/>
      <c r="BK40" s="122"/>
    </row>
    <row r="41" spans="2:63" ht="12.75" customHeight="1" x14ac:dyDescent="0.2">
      <c r="B41" s="18">
        <v>1217</v>
      </c>
      <c r="C41" s="13" t="s">
        <v>225</v>
      </c>
      <c r="D41" s="16">
        <v>24481.274966000001</v>
      </c>
      <c r="E41" s="16"/>
      <c r="F41" s="16">
        <v>440.12288100000001</v>
      </c>
      <c r="G41" s="16">
        <v>278.07735200000002</v>
      </c>
      <c r="H41" s="16">
        <v>547.05511799999999</v>
      </c>
      <c r="I41" s="16"/>
      <c r="J41" s="16">
        <f t="shared" si="21"/>
        <v>25746.530317000001</v>
      </c>
      <c r="K41" s="16"/>
      <c r="L41" s="16">
        <v>283.95643799999999</v>
      </c>
      <c r="M41" s="16">
        <v>1979.681542</v>
      </c>
      <c r="N41" s="16">
        <f t="shared" si="5"/>
        <v>2263.63798</v>
      </c>
      <c r="O41" s="16">
        <f t="shared" si="1"/>
        <v>28010.168297</v>
      </c>
      <c r="P41" s="113">
        <v>25824.22887754043</v>
      </c>
      <c r="Q41" s="113"/>
      <c r="R41" s="113">
        <v>915.36701100000005</v>
      </c>
      <c r="S41" s="113">
        <v>257.43999200000002</v>
      </c>
      <c r="T41" s="113">
        <v>1072.4701534595708</v>
      </c>
      <c r="U41" s="113">
        <v>781.50328552494386</v>
      </c>
      <c r="V41" s="113">
        <f t="shared" si="7"/>
        <v>28851.009319524943</v>
      </c>
      <c r="W41" s="113"/>
      <c r="X41" s="113">
        <v>254.65380999999999</v>
      </c>
      <c r="Y41" s="113">
        <v>2327.0754045737199</v>
      </c>
      <c r="Z41" s="113">
        <v>3746.8733940000002</v>
      </c>
      <c r="AA41" s="113">
        <v>0</v>
      </c>
      <c r="AB41" s="113">
        <f t="shared" si="22"/>
        <v>6328.6026085737194</v>
      </c>
      <c r="AC41" s="113">
        <f t="shared" si="9"/>
        <v>35179.61192809866</v>
      </c>
      <c r="AD41" s="113">
        <v>26805.549574708966</v>
      </c>
      <c r="AE41" s="113">
        <v>1113.2240192910347</v>
      </c>
      <c r="AF41" s="113"/>
      <c r="AG41" s="113">
        <v>1262.377931</v>
      </c>
      <c r="AH41" s="113">
        <v>218.072</v>
      </c>
      <c r="AI41" s="113">
        <v>2156.417739</v>
      </c>
      <c r="AJ41" s="113">
        <v>1077.1795589999999</v>
      </c>
      <c r="AK41" s="113">
        <f t="shared" si="19"/>
        <v>32632.820823000002</v>
      </c>
      <c r="AL41" s="113"/>
      <c r="AM41" s="119">
        <v>403.48556599999995</v>
      </c>
      <c r="AN41" s="113">
        <v>3824.268853</v>
      </c>
      <c r="AO41" s="113">
        <v>2699.8358069999999</v>
      </c>
      <c r="AP41" s="113">
        <v>0</v>
      </c>
      <c r="AQ41" s="113">
        <f t="shared" si="23"/>
        <v>6927.5902260000003</v>
      </c>
      <c r="AR41" s="113">
        <f t="shared" si="20"/>
        <v>39560.411049000002</v>
      </c>
      <c r="AS41" s="113">
        <v>27237.118922400481</v>
      </c>
      <c r="AT41" s="113">
        <v>1131.1469260016204</v>
      </c>
      <c r="AU41" s="113">
        <v>2191.1360645978998</v>
      </c>
      <c r="AV41" s="5"/>
      <c r="AW41" s="113">
        <v>437.87817000000001</v>
      </c>
      <c r="AX41" s="113">
        <v>2708.316632</v>
      </c>
      <c r="AY41" s="113">
        <v>530.19598699999995</v>
      </c>
      <c r="AZ41" s="113">
        <f t="shared" si="13"/>
        <v>34235.792701999999</v>
      </c>
      <c r="BA41" s="5"/>
      <c r="BB41" s="113">
        <v>851.92273999999998</v>
      </c>
      <c r="BC41" s="113">
        <v>4735.0493470000001</v>
      </c>
      <c r="BD41" s="113">
        <v>1919.807024</v>
      </c>
      <c r="BE41" s="113">
        <v>0</v>
      </c>
      <c r="BF41" s="113">
        <f t="shared" si="14"/>
        <v>7506.7791109999998</v>
      </c>
      <c r="BG41" s="113">
        <f t="shared" si="15"/>
        <v>41742.571813000002</v>
      </c>
      <c r="BK41" s="122"/>
    </row>
    <row r="42" spans="2:63" ht="12.75" customHeight="1" x14ac:dyDescent="0.2">
      <c r="B42" s="18">
        <v>1218</v>
      </c>
      <c r="C42" s="12" t="s">
        <v>226</v>
      </c>
      <c r="D42" s="16">
        <v>30226.061256000001</v>
      </c>
      <c r="E42" s="16"/>
      <c r="F42" s="16">
        <v>445.08289300000001</v>
      </c>
      <c r="G42" s="16">
        <v>196.66246599999999</v>
      </c>
      <c r="H42" s="16">
        <v>615.34097799999995</v>
      </c>
      <c r="I42" s="16"/>
      <c r="J42" s="16">
        <f t="shared" si="21"/>
        <v>31483.147593000002</v>
      </c>
      <c r="K42" s="16"/>
      <c r="L42" s="16">
        <v>217.05993900000001</v>
      </c>
      <c r="M42" s="16">
        <v>1604.6437619999999</v>
      </c>
      <c r="N42" s="16">
        <f t="shared" si="5"/>
        <v>1821.7037009999999</v>
      </c>
      <c r="O42" s="16">
        <f t="shared" si="1"/>
        <v>33304.851294</v>
      </c>
      <c r="P42" s="113">
        <v>31822.156232347854</v>
      </c>
      <c r="Q42" s="113"/>
      <c r="R42" s="113">
        <v>837.98304399999995</v>
      </c>
      <c r="S42" s="113">
        <v>342.56681400000002</v>
      </c>
      <c r="T42" s="113">
        <v>1411.1390336521474</v>
      </c>
      <c r="U42" s="113">
        <v>657.09314862299732</v>
      </c>
      <c r="V42" s="113">
        <f t="shared" si="7"/>
        <v>35070.938272623003</v>
      </c>
      <c r="W42" s="113"/>
      <c r="X42" s="113">
        <v>311.85306200000002</v>
      </c>
      <c r="Y42" s="113">
        <v>2260.2753532168949</v>
      </c>
      <c r="Z42" s="113">
        <v>7005.8938159999998</v>
      </c>
      <c r="AA42" s="113">
        <v>0</v>
      </c>
      <c r="AB42" s="113">
        <f t="shared" si="22"/>
        <v>9578.0222312168953</v>
      </c>
      <c r="AC42" s="113">
        <f t="shared" si="9"/>
        <v>44648.960503839902</v>
      </c>
      <c r="AD42" s="113">
        <v>33031.398169069071</v>
      </c>
      <c r="AE42" s="113">
        <v>1464.762316930929</v>
      </c>
      <c r="AF42" s="113"/>
      <c r="AG42" s="113">
        <v>1226.2684939999999</v>
      </c>
      <c r="AH42" s="113">
        <v>453.75383799999997</v>
      </c>
      <c r="AI42" s="113">
        <v>2463.2408139999998</v>
      </c>
      <c r="AJ42" s="113">
        <v>1117.5444990000001</v>
      </c>
      <c r="AK42" s="113">
        <f t="shared" si="19"/>
        <v>39756.968130999994</v>
      </c>
      <c r="AL42" s="113"/>
      <c r="AM42" s="119">
        <v>1009.187516</v>
      </c>
      <c r="AN42" s="113">
        <v>4040.5439310000002</v>
      </c>
      <c r="AO42" s="113">
        <v>3880.4065369999998</v>
      </c>
      <c r="AP42" s="113">
        <v>0</v>
      </c>
      <c r="AQ42" s="113">
        <f t="shared" si="23"/>
        <v>8930.1379840000009</v>
      </c>
      <c r="AR42" s="113">
        <f t="shared" si="20"/>
        <v>48687.106114999995</v>
      </c>
      <c r="AS42" s="113">
        <v>33563.203679661077</v>
      </c>
      <c r="AT42" s="113">
        <v>1488.3449902335169</v>
      </c>
      <c r="AU42" s="113">
        <v>2502.8989911054</v>
      </c>
      <c r="AV42" s="5"/>
      <c r="AW42" s="113">
        <v>356.79673600000001</v>
      </c>
      <c r="AX42" s="113">
        <v>2959.8507709999999</v>
      </c>
      <c r="AY42" s="113">
        <v>505.90538700000002</v>
      </c>
      <c r="AZ42" s="113">
        <f t="shared" si="13"/>
        <v>41377.000554999991</v>
      </c>
      <c r="BA42" s="5"/>
      <c r="BB42" s="113">
        <v>1593.9821379999998</v>
      </c>
      <c r="BC42" s="113">
        <v>4554.8802159999996</v>
      </c>
      <c r="BD42" s="113">
        <v>2500.9156170000001</v>
      </c>
      <c r="BE42" s="113">
        <v>0</v>
      </c>
      <c r="BF42" s="113">
        <f t="shared" si="14"/>
        <v>8649.7779709999995</v>
      </c>
      <c r="BG42" s="113">
        <f t="shared" si="15"/>
        <v>50026.778525999995</v>
      </c>
      <c r="BK42" s="122"/>
    </row>
    <row r="43" spans="2:63" ht="12.75" customHeight="1" x14ac:dyDescent="0.2">
      <c r="B43" s="18">
        <v>1214</v>
      </c>
      <c r="C43" s="12" t="s">
        <v>280</v>
      </c>
      <c r="D43" s="16">
        <v>19635.042667000002</v>
      </c>
      <c r="E43" s="16"/>
      <c r="F43" s="16">
        <v>387.18860699999999</v>
      </c>
      <c r="G43" s="16">
        <v>800.49807199999998</v>
      </c>
      <c r="H43" s="16">
        <v>528.50719600000002</v>
      </c>
      <c r="I43" s="16"/>
      <c r="J43" s="16">
        <f t="shared" si="21"/>
        <v>21351.236541999999</v>
      </c>
      <c r="K43" s="16"/>
      <c r="L43" s="16">
        <v>473.93441000000001</v>
      </c>
      <c r="M43" s="16">
        <v>1361.7205369999999</v>
      </c>
      <c r="N43" s="16">
        <f t="shared" si="5"/>
        <v>1835.654947</v>
      </c>
      <c r="O43" s="16">
        <f t="shared" si="1"/>
        <v>23186.891488999998</v>
      </c>
      <c r="P43" s="113">
        <v>20804.749053473577</v>
      </c>
      <c r="Q43" s="113"/>
      <c r="R43" s="113">
        <v>663.081636</v>
      </c>
      <c r="S43" s="113">
        <v>815.44807800000001</v>
      </c>
      <c r="T43" s="113">
        <v>1153.4466145264228</v>
      </c>
      <c r="U43" s="113">
        <v>499.99805269827021</v>
      </c>
      <c r="V43" s="113">
        <f t="shared" si="7"/>
        <v>23936.72343469827</v>
      </c>
      <c r="W43" s="113"/>
      <c r="X43" s="113">
        <v>545.72318600000006</v>
      </c>
      <c r="Y43" s="113">
        <v>2248.7865032373011</v>
      </c>
      <c r="Z43" s="113">
        <v>3956.5047730000001</v>
      </c>
      <c r="AA43" s="113">
        <v>0</v>
      </c>
      <c r="AB43" s="113">
        <f t="shared" si="22"/>
        <v>6751.0144622373009</v>
      </c>
      <c r="AC43" s="113">
        <f t="shared" si="9"/>
        <v>30687.73789693557</v>
      </c>
      <c r="AD43" s="113">
        <v>21595.329517121576</v>
      </c>
      <c r="AE43" s="113">
        <v>1197.2775858784269</v>
      </c>
      <c r="AF43" s="113"/>
      <c r="AG43" s="113">
        <v>929.16046600000004</v>
      </c>
      <c r="AH43" s="113">
        <v>821.58087499999999</v>
      </c>
      <c r="AI43" s="113">
        <v>2106.6141170000001</v>
      </c>
      <c r="AJ43" s="113">
        <v>1118.00281</v>
      </c>
      <c r="AK43" s="113">
        <f t="shared" si="19"/>
        <v>27767.965371000006</v>
      </c>
      <c r="AL43" s="113"/>
      <c r="AM43" s="119">
        <v>1704.1422680000001</v>
      </c>
      <c r="AN43" s="113">
        <v>3943.4557789999999</v>
      </c>
      <c r="AO43" s="113">
        <v>1199.9999999999998</v>
      </c>
      <c r="AP43" s="113">
        <v>1552.634272</v>
      </c>
      <c r="AQ43" s="113">
        <f t="shared" si="23"/>
        <v>8400.2323189999988</v>
      </c>
      <c r="AR43" s="113">
        <f t="shared" si="20"/>
        <v>36168.197690000001</v>
      </c>
      <c r="AS43" s="113">
        <v>21943.014322705229</v>
      </c>
      <c r="AT43" s="113">
        <v>1216.5537550110696</v>
      </c>
      <c r="AU43" s="113">
        <v>2140.5306042837001</v>
      </c>
      <c r="AV43" s="5"/>
      <c r="AW43" s="113">
        <v>1570.4177</v>
      </c>
      <c r="AX43" s="113">
        <v>2544.922611</v>
      </c>
      <c r="AY43" s="113">
        <v>523.434214</v>
      </c>
      <c r="AZ43" s="113">
        <f t="shared" si="13"/>
        <v>29938.873207000004</v>
      </c>
      <c r="BA43" s="5"/>
      <c r="BB43" s="113">
        <v>1887.4492949999999</v>
      </c>
      <c r="BC43" s="113">
        <v>4602.1990320000004</v>
      </c>
      <c r="BD43" s="113">
        <v>0</v>
      </c>
      <c r="BE43" s="113">
        <v>1530.174949</v>
      </c>
      <c r="BF43" s="113">
        <f t="shared" si="14"/>
        <v>8019.823276000001</v>
      </c>
      <c r="BG43" s="113">
        <f t="shared" si="15"/>
        <v>37958.696483000007</v>
      </c>
      <c r="BK43" s="122"/>
    </row>
    <row r="44" spans="2:63" ht="16.5" customHeight="1" x14ac:dyDescent="0.2">
      <c r="C44" s="8" t="s">
        <v>88</v>
      </c>
      <c r="D44" s="19">
        <f>+D9+D27</f>
        <v>3014920.6154000005</v>
      </c>
      <c r="E44" s="19">
        <f t="shared" ref="E44:I44" si="24">+E9+E27</f>
        <v>338305.96099200007</v>
      </c>
      <c r="F44" s="19">
        <f t="shared" si="24"/>
        <v>19205.390034</v>
      </c>
      <c r="G44" s="19">
        <f t="shared" si="24"/>
        <v>35955.98287800001</v>
      </c>
      <c r="H44" s="19">
        <f t="shared" si="24"/>
        <v>30000.000000000004</v>
      </c>
      <c r="I44" s="19">
        <f t="shared" si="24"/>
        <v>27356.75</v>
      </c>
      <c r="J44" s="19">
        <f>SUM(D44:I44)</f>
        <v>3465744.6993040005</v>
      </c>
      <c r="K44" s="19">
        <f>+K9+K27</f>
        <v>84294.877912999975</v>
      </c>
      <c r="L44" s="19">
        <f t="shared" ref="L44:M44" si="25">+L9+L27</f>
        <v>74213.570023000007</v>
      </c>
      <c r="M44" s="19">
        <f t="shared" si="25"/>
        <v>70000</v>
      </c>
      <c r="N44" s="19">
        <f>SUM(K44:M44)</f>
        <v>228508.44793599998</v>
      </c>
      <c r="O44" s="19">
        <f t="shared" si="1"/>
        <v>3694253.1472400003</v>
      </c>
      <c r="P44" s="114">
        <f>+P27+P9</f>
        <v>3169975.5276689995</v>
      </c>
      <c r="Q44" s="114">
        <f t="shared" ref="Q44:AC44" si="26">+Q27+Q9</f>
        <v>357714.27131600009</v>
      </c>
      <c r="R44" s="114">
        <f t="shared" si="26"/>
        <v>29447.000000000004</v>
      </c>
      <c r="S44" s="114">
        <f t="shared" si="26"/>
        <v>37035</v>
      </c>
      <c r="T44" s="114">
        <f t="shared" si="26"/>
        <v>107529.699039</v>
      </c>
      <c r="U44" s="114">
        <f t="shared" si="26"/>
        <v>25233.444060300004</v>
      </c>
      <c r="V44" s="114">
        <f t="shared" si="26"/>
        <v>3726934.9420843003</v>
      </c>
      <c r="W44" s="114">
        <f t="shared" si="26"/>
        <v>86823.724247999999</v>
      </c>
      <c r="X44" s="114">
        <f t="shared" si="26"/>
        <v>90000</v>
      </c>
      <c r="Y44" s="114">
        <f t="shared" si="26"/>
        <v>75000</v>
      </c>
      <c r="Z44" s="114">
        <f t="shared" si="26"/>
        <v>194371.839698</v>
      </c>
      <c r="AA44" s="114">
        <f t="shared" si="26"/>
        <v>628.160302</v>
      </c>
      <c r="AB44" s="114">
        <f t="shared" si="26"/>
        <v>446823.72424799995</v>
      </c>
      <c r="AC44" s="114">
        <f t="shared" si="26"/>
        <v>4173758.6663322989</v>
      </c>
      <c r="AD44" s="114">
        <f>+AD27+AD9</f>
        <v>3302034.5977195185</v>
      </c>
      <c r="AE44" s="114">
        <f>+AE27+AE9</f>
        <v>111615.82760248199</v>
      </c>
      <c r="AF44" s="114">
        <f t="shared" ref="AF44:BE44" si="27">+AF27+AF9</f>
        <v>370942.94780699996</v>
      </c>
      <c r="AG44" s="114">
        <f t="shared" si="27"/>
        <v>41022.466710000001</v>
      </c>
      <c r="AH44" s="114">
        <f t="shared" si="27"/>
        <v>38146.000000000007</v>
      </c>
      <c r="AI44" s="114">
        <f t="shared" si="27"/>
        <v>131100.20906799997</v>
      </c>
      <c r="AJ44" s="114">
        <f t="shared" si="27"/>
        <v>38124.344516000005</v>
      </c>
      <c r="AK44" s="114">
        <f t="shared" si="27"/>
        <v>4032986.3934230004</v>
      </c>
      <c r="AL44" s="114">
        <f t="shared" si="27"/>
        <v>89775.730874000001</v>
      </c>
      <c r="AM44" s="114">
        <f t="shared" si="27"/>
        <v>92571.741999999998</v>
      </c>
      <c r="AN44" s="114">
        <f t="shared" si="27"/>
        <v>146000</v>
      </c>
      <c r="AO44" s="114">
        <f t="shared" si="27"/>
        <v>114358.92066</v>
      </c>
      <c r="AP44" s="114">
        <f t="shared" si="27"/>
        <v>5641.0793399999993</v>
      </c>
      <c r="AQ44" s="114">
        <f t="shared" si="27"/>
        <v>448347.47287399997</v>
      </c>
      <c r="AR44" s="114">
        <f t="shared" si="27"/>
        <v>4481333.8662970001</v>
      </c>
      <c r="AS44" s="114">
        <f t="shared" si="27"/>
        <v>3355197.3547451245</v>
      </c>
      <c r="AT44" s="114">
        <f t="shared" si="27"/>
        <v>113412.84242688197</v>
      </c>
      <c r="AU44" s="114">
        <f t="shared" si="27"/>
        <v>133210.9224339948</v>
      </c>
      <c r="AV44" s="114">
        <f t="shared" si="27"/>
        <v>380233.56112500007</v>
      </c>
      <c r="AW44" s="114">
        <f t="shared" si="27"/>
        <v>72012.843196329981</v>
      </c>
      <c r="AX44" s="114">
        <f t="shared" si="27"/>
        <v>159513.77854700002</v>
      </c>
      <c r="AY44" s="114">
        <f t="shared" si="27"/>
        <v>18859.703431000002</v>
      </c>
      <c r="AZ44" s="114">
        <f t="shared" si="27"/>
        <v>4232441.0059053302</v>
      </c>
      <c r="BA44" s="114">
        <f t="shared" si="27"/>
        <v>92558.778532999975</v>
      </c>
      <c r="BB44" s="114">
        <f t="shared" si="27"/>
        <v>99492.726081000001</v>
      </c>
      <c r="BC44" s="114">
        <f t="shared" si="27"/>
        <v>182500</v>
      </c>
      <c r="BD44" s="114">
        <f t="shared" si="27"/>
        <v>76651.244535999984</v>
      </c>
      <c r="BE44" s="114">
        <f t="shared" si="27"/>
        <v>3348.7554639999998</v>
      </c>
      <c r="BF44" s="114">
        <f>+SUM(BA44:BE44)</f>
        <v>454551.50461399992</v>
      </c>
      <c r="BG44" s="114">
        <f>+BF44+AZ44</f>
        <v>4686992.5105193304</v>
      </c>
    </row>
    <row r="45" spans="2:63" x14ac:dyDescent="0.2">
      <c r="C45" s="14"/>
      <c r="K45" s="29"/>
      <c r="AW45" s="121"/>
    </row>
    <row r="46" spans="2:63" x14ac:dyDescent="0.2">
      <c r="B46" s="112"/>
      <c r="C46" s="14"/>
      <c r="D46" s="29"/>
      <c r="E46" s="102"/>
      <c r="G46" s="29"/>
      <c r="AU46" s="126"/>
      <c r="BB46" s="122"/>
      <c r="BE46" s="122"/>
    </row>
    <row r="47" spans="2:63" x14ac:dyDescent="0.2">
      <c r="B47" s="112"/>
      <c r="C47" s="14"/>
      <c r="D47" s="29"/>
      <c r="AS47" s="121"/>
    </row>
    <row r="48" spans="2:63" x14ac:dyDescent="0.2">
      <c r="B48" s="112"/>
      <c r="C48" s="14"/>
      <c r="D48" s="29"/>
      <c r="O48" s="100"/>
    </row>
    <row r="49" spans="2:48" x14ac:dyDescent="0.2">
      <c r="B49" s="112"/>
      <c r="C49" s="14"/>
      <c r="AV49" s="122"/>
    </row>
    <row r="50" spans="2:48" x14ac:dyDescent="0.2">
      <c r="B50" s="112"/>
      <c r="C50" s="14"/>
      <c r="AV50" s="122"/>
    </row>
    <row r="51" spans="2:48" x14ac:dyDescent="0.2">
      <c r="C51" s="14"/>
      <c r="AV51" s="122"/>
    </row>
    <row r="52" spans="2:48" x14ac:dyDescent="0.2">
      <c r="C52" s="14"/>
      <c r="AV52" s="123"/>
    </row>
    <row r="53" spans="2:48" x14ac:dyDescent="0.2">
      <c r="C53" s="14"/>
    </row>
    <row r="54" spans="2:48" x14ac:dyDescent="0.2">
      <c r="C54" s="14"/>
    </row>
    <row r="55" spans="2:48" x14ac:dyDescent="0.2">
      <c r="C55" s="14"/>
    </row>
    <row r="56" spans="2:48" x14ac:dyDescent="0.2">
      <c r="C56" s="14"/>
    </row>
    <row r="57" spans="2:48" x14ac:dyDescent="0.2">
      <c r="C57" s="14"/>
    </row>
    <row r="58" spans="2:48" x14ac:dyDescent="0.2">
      <c r="C58" s="14"/>
    </row>
    <row r="59" spans="2:48" x14ac:dyDescent="0.2">
      <c r="C59" s="14"/>
    </row>
    <row r="60" spans="2:48" x14ac:dyDescent="0.2">
      <c r="C60" s="14"/>
    </row>
    <row r="61" spans="2:48" x14ac:dyDescent="0.2">
      <c r="C61" s="14"/>
    </row>
    <row r="62" spans="2:48" x14ac:dyDescent="0.2">
      <c r="C62" s="14"/>
    </row>
    <row r="63" spans="2:48" x14ac:dyDescent="0.2">
      <c r="C63" s="14"/>
    </row>
    <row r="64" spans="2:48" x14ac:dyDescent="0.2">
      <c r="C64" s="14"/>
    </row>
    <row r="65" spans="3:3" x14ac:dyDescent="0.2">
      <c r="C65" s="14"/>
    </row>
    <row r="66" spans="3:3" x14ac:dyDescent="0.2">
      <c r="C66" s="14"/>
    </row>
    <row r="67" spans="3:3" x14ac:dyDescent="0.2">
      <c r="C67" s="14"/>
    </row>
    <row r="68" spans="3:3" x14ac:dyDescent="0.2">
      <c r="C68" s="14"/>
    </row>
    <row r="69" spans="3:3" x14ac:dyDescent="0.2">
      <c r="C69" s="14"/>
    </row>
    <row r="70" spans="3:3" x14ac:dyDescent="0.2">
      <c r="C70" s="14"/>
    </row>
    <row r="71" spans="3:3" x14ac:dyDescent="0.2">
      <c r="C71" s="14"/>
    </row>
    <row r="72" spans="3:3" x14ac:dyDescent="0.2">
      <c r="C72" s="14"/>
    </row>
    <row r="73" spans="3:3" x14ac:dyDescent="0.2">
      <c r="C73" s="14"/>
    </row>
    <row r="74" spans="3:3" x14ac:dyDescent="0.2">
      <c r="C74" s="14"/>
    </row>
    <row r="75" spans="3:3" x14ac:dyDescent="0.2">
      <c r="C75" s="14"/>
    </row>
    <row r="76" spans="3:3" x14ac:dyDescent="0.2">
      <c r="C76" s="14"/>
    </row>
    <row r="77" spans="3:3" x14ac:dyDescent="0.2">
      <c r="C77" s="14"/>
    </row>
    <row r="78" spans="3:3" x14ac:dyDescent="0.2">
      <c r="C78" s="14"/>
    </row>
    <row r="79" spans="3:3" x14ac:dyDescent="0.2">
      <c r="C79" s="14"/>
    </row>
    <row r="80" spans="3:3" x14ac:dyDescent="0.2">
      <c r="C80" s="14"/>
    </row>
    <row r="81" spans="3:3" x14ac:dyDescent="0.2">
      <c r="C81" s="14"/>
    </row>
    <row r="82" spans="3:3" x14ac:dyDescent="0.2">
      <c r="C82" s="14"/>
    </row>
    <row r="83" spans="3:3" x14ac:dyDescent="0.2">
      <c r="C83" s="14"/>
    </row>
    <row r="84" spans="3:3" x14ac:dyDescent="0.2">
      <c r="C84" s="14"/>
    </row>
    <row r="85" spans="3:3" x14ac:dyDescent="0.2">
      <c r="C85" s="14"/>
    </row>
    <row r="86" spans="3:3" x14ac:dyDescent="0.2">
      <c r="C86" s="14"/>
    </row>
    <row r="87" spans="3:3" x14ac:dyDescent="0.2">
      <c r="C87" s="14"/>
    </row>
    <row r="88" spans="3:3" x14ac:dyDescent="0.2">
      <c r="C88" s="14"/>
    </row>
    <row r="89" spans="3:3" x14ac:dyDescent="0.2">
      <c r="C89" s="14"/>
    </row>
    <row r="90" spans="3:3" x14ac:dyDescent="0.2">
      <c r="C90" s="14"/>
    </row>
    <row r="91" spans="3:3" x14ac:dyDescent="0.2">
      <c r="C91" s="14"/>
    </row>
    <row r="92" spans="3:3" x14ac:dyDescent="0.2">
      <c r="C92" s="14"/>
    </row>
    <row r="93" spans="3:3" x14ac:dyDescent="0.2">
      <c r="C93" s="14"/>
    </row>
    <row r="94" spans="3:3" x14ac:dyDescent="0.2">
      <c r="C94" s="14"/>
    </row>
    <row r="95" spans="3:3" x14ac:dyDescent="0.2">
      <c r="C95" s="14"/>
    </row>
    <row r="96" spans="3:3" x14ac:dyDescent="0.2">
      <c r="C96" s="14"/>
    </row>
    <row r="97" spans="3:3" x14ac:dyDescent="0.2">
      <c r="C97" s="14"/>
    </row>
    <row r="98" spans="3:3" x14ac:dyDescent="0.2">
      <c r="C98" s="14"/>
    </row>
    <row r="99" spans="3:3" x14ac:dyDescent="0.2">
      <c r="C99" s="14"/>
    </row>
    <row r="100" spans="3:3" x14ac:dyDescent="0.2">
      <c r="C100" s="14"/>
    </row>
    <row r="101" spans="3:3" x14ac:dyDescent="0.2">
      <c r="C101" s="14"/>
    </row>
    <row r="102" spans="3:3" x14ac:dyDescent="0.2">
      <c r="C102" s="14"/>
    </row>
    <row r="103" spans="3:3" x14ac:dyDescent="0.2">
      <c r="C103" s="14"/>
    </row>
    <row r="104" spans="3:3" x14ac:dyDescent="0.2">
      <c r="C104" s="14"/>
    </row>
    <row r="105" spans="3:3" x14ac:dyDescent="0.2">
      <c r="C105" s="14"/>
    </row>
    <row r="106" spans="3:3" x14ac:dyDescent="0.2">
      <c r="C106" s="14"/>
    </row>
    <row r="107" spans="3:3" x14ac:dyDescent="0.2">
      <c r="C107" s="14"/>
    </row>
    <row r="108" spans="3:3" x14ac:dyDescent="0.2">
      <c r="C108" s="14"/>
    </row>
    <row r="109" spans="3:3" x14ac:dyDescent="0.2">
      <c r="C109" s="14"/>
    </row>
    <row r="110" spans="3:3" x14ac:dyDescent="0.2">
      <c r="C110" s="14"/>
    </row>
    <row r="111" spans="3:3" x14ac:dyDescent="0.2">
      <c r="C111" s="14"/>
    </row>
    <row r="112" spans="3:3" x14ac:dyDescent="0.2">
      <c r="C112" s="14"/>
    </row>
    <row r="113" spans="3:3" x14ac:dyDescent="0.2">
      <c r="C113" s="14"/>
    </row>
    <row r="114" spans="3:3" x14ac:dyDescent="0.2">
      <c r="C114" s="14"/>
    </row>
    <row r="115" spans="3:3" x14ac:dyDescent="0.2">
      <c r="C115" s="14"/>
    </row>
    <row r="116" spans="3:3" x14ac:dyDescent="0.2">
      <c r="C116" s="14"/>
    </row>
    <row r="117" spans="3:3" x14ac:dyDescent="0.2">
      <c r="C117" s="14"/>
    </row>
    <row r="118" spans="3:3" x14ac:dyDescent="0.2">
      <c r="C118" s="14"/>
    </row>
    <row r="119" spans="3:3" x14ac:dyDescent="0.2">
      <c r="C119" s="14"/>
    </row>
    <row r="120" spans="3:3" x14ac:dyDescent="0.2">
      <c r="C120" s="14"/>
    </row>
    <row r="121" spans="3:3" x14ac:dyDescent="0.2">
      <c r="C121" s="14"/>
    </row>
    <row r="122" spans="3:3" x14ac:dyDescent="0.2">
      <c r="C122" s="14"/>
    </row>
    <row r="123" spans="3:3" x14ac:dyDescent="0.2">
      <c r="C123" s="14"/>
    </row>
    <row r="124" spans="3:3" x14ac:dyDescent="0.2">
      <c r="C124" s="14"/>
    </row>
    <row r="125" spans="3:3" x14ac:dyDescent="0.2">
      <c r="C125" s="14"/>
    </row>
    <row r="126" spans="3:3" x14ac:dyDescent="0.2">
      <c r="C126" s="14"/>
    </row>
    <row r="127" spans="3:3" x14ac:dyDescent="0.2">
      <c r="C127" s="14"/>
    </row>
    <row r="128" spans="3:3" x14ac:dyDescent="0.2">
      <c r="C128" s="14"/>
    </row>
    <row r="129" spans="3:3" x14ac:dyDescent="0.2">
      <c r="C129" s="14"/>
    </row>
    <row r="130" spans="3:3" x14ac:dyDescent="0.2">
      <c r="C130" s="14"/>
    </row>
    <row r="131" spans="3:3" x14ac:dyDescent="0.2">
      <c r="C131" s="14"/>
    </row>
    <row r="132" spans="3:3" x14ac:dyDescent="0.2">
      <c r="C132" s="14"/>
    </row>
    <row r="133" spans="3:3" x14ac:dyDescent="0.2">
      <c r="C133" s="14"/>
    </row>
    <row r="134" spans="3:3" x14ac:dyDescent="0.2">
      <c r="C134" s="14"/>
    </row>
    <row r="135" spans="3:3" x14ac:dyDescent="0.2">
      <c r="C135" s="14"/>
    </row>
    <row r="136" spans="3:3" x14ac:dyDescent="0.2">
      <c r="C136" s="14"/>
    </row>
    <row r="137" spans="3:3" x14ac:dyDescent="0.2">
      <c r="C137" s="14"/>
    </row>
    <row r="138" spans="3:3" x14ac:dyDescent="0.2">
      <c r="C138" s="14"/>
    </row>
    <row r="139" spans="3:3" x14ac:dyDescent="0.2">
      <c r="C139" s="14"/>
    </row>
    <row r="140" spans="3:3" x14ac:dyDescent="0.2">
      <c r="C140" s="14"/>
    </row>
    <row r="141" spans="3:3" x14ac:dyDescent="0.2">
      <c r="C141" s="14"/>
    </row>
    <row r="142" spans="3:3" x14ac:dyDescent="0.2">
      <c r="C142" s="14"/>
    </row>
    <row r="143" spans="3:3" x14ac:dyDescent="0.2">
      <c r="C143" s="14"/>
    </row>
    <row r="144" spans="3:3" x14ac:dyDescent="0.2">
      <c r="C144" s="14"/>
    </row>
    <row r="145" spans="3:3" x14ac:dyDescent="0.2">
      <c r="C145" s="14"/>
    </row>
    <row r="146" spans="3:3" x14ac:dyDescent="0.2">
      <c r="C146" s="14"/>
    </row>
    <row r="147" spans="3:3" x14ac:dyDescent="0.2">
      <c r="C147" s="14"/>
    </row>
    <row r="148" spans="3:3" x14ac:dyDescent="0.2">
      <c r="C148" s="14"/>
    </row>
    <row r="149" spans="3:3" x14ac:dyDescent="0.2">
      <c r="C149" s="14"/>
    </row>
    <row r="150" spans="3:3" x14ac:dyDescent="0.2">
      <c r="C150" s="14"/>
    </row>
    <row r="151" spans="3:3" x14ac:dyDescent="0.2">
      <c r="C151" s="14"/>
    </row>
    <row r="152" spans="3:3" x14ac:dyDescent="0.2">
      <c r="C152" s="14"/>
    </row>
    <row r="153" spans="3:3" x14ac:dyDescent="0.2">
      <c r="C153" s="14"/>
    </row>
    <row r="154" spans="3:3" x14ac:dyDescent="0.2">
      <c r="C154" s="14"/>
    </row>
    <row r="155" spans="3:3" x14ac:dyDescent="0.2">
      <c r="C155" s="14"/>
    </row>
    <row r="156" spans="3:3" x14ac:dyDescent="0.2">
      <c r="C156" s="14"/>
    </row>
    <row r="157" spans="3:3" x14ac:dyDescent="0.2">
      <c r="C157" s="14"/>
    </row>
    <row r="158" spans="3:3" x14ac:dyDescent="0.2">
      <c r="C158" s="14"/>
    </row>
    <row r="159" spans="3:3" x14ac:dyDescent="0.2">
      <c r="C159" s="14"/>
    </row>
    <row r="160" spans="3:3" x14ac:dyDescent="0.2">
      <c r="C160" s="14"/>
    </row>
    <row r="161" spans="3:3" x14ac:dyDescent="0.2">
      <c r="C161" s="14"/>
    </row>
    <row r="162" spans="3:3" x14ac:dyDescent="0.2">
      <c r="C162" s="14"/>
    </row>
    <row r="163" spans="3:3" x14ac:dyDescent="0.2">
      <c r="C163" s="14"/>
    </row>
    <row r="164" spans="3:3" x14ac:dyDescent="0.2">
      <c r="C164" s="14"/>
    </row>
  </sheetData>
  <mergeCells count="14">
    <mergeCell ref="C6:C8"/>
    <mergeCell ref="B6:B8"/>
    <mergeCell ref="P6:AC6"/>
    <mergeCell ref="AD6:AR6"/>
    <mergeCell ref="P7:V7"/>
    <mergeCell ref="W7:AC7"/>
    <mergeCell ref="AD7:AK7"/>
    <mergeCell ref="AL7:AR7"/>
    <mergeCell ref="AS6:BG6"/>
    <mergeCell ref="AS7:AZ7"/>
    <mergeCell ref="BA7:BG7"/>
    <mergeCell ref="D6:O6"/>
    <mergeCell ref="D7:J7"/>
    <mergeCell ref="K7:O7"/>
  </mergeCells>
  <printOptions horizontalCentered="1" verticalCentered="1"/>
  <pageMargins left="1.0236220472440944" right="0.70866141732283472" top="0.98425196850393704" bottom="1.1811023622047245" header="0" footer="0.19685039370078741"/>
  <pageSetup paperSize="5" scale="45" fitToWidth="7" fitToHeight="2" orientation="landscape" blackAndWhite="1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1"/>
  <sheetViews>
    <sheetView showGridLines="0" zoomScale="85" zoomScaleNormal="85" workbookViewId="0">
      <selection activeCell="K30" sqref="K30"/>
    </sheetView>
  </sheetViews>
  <sheetFormatPr baseColWidth="10" defaultRowHeight="12.75" x14ac:dyDescent="0.2"/>
  <cols>
    <col min="1" max="1" width="30.85546875" style="55" bestFit="1" customWidth="1"/>
    <col min="2" max="2" width="19.28515625" style="67" bestFit="1" customWidth="1"/>
    <col min="3" max="3" width="17.42578125" style="67" bestFit="1" customWidth="1"/>
    <col min="4" max="4" width="19.28515625" style="67" bestFit="1" customWidth="1"/>
    <col min="5" max="5" width="1.7109375" style="67" customWidth="1"/>
    <col min="6" max="6" width="19.28515625" style="68" bestFit="1" customWidth="1"/>
    <col min="7" max="7" width="17" style="55" bestFit="1" customWidth="1"/>
    <col min="8" max="8" width="2.5703125" style="55" customWidth="1"/>
    <col min="9" max="9" width="30.85546875" style="55" bestFit="1" customWidth="1"/>
    <col min="10" max="10" width="19.28515625" style="55" bestFit="1" customWidth="1"/>
    <col min="11" max="11" width="17.42578125" style="55" bestFit="1" customWidth="1"/>
    <col min="12" max="12" width="19.28515625" style="55" bestFit="1" customWidth="1"/>
    <col min="13" max="13" width="4.140625" style="55" customWidth="1"/>
    <col min="14" max="14" width="19.28515625" style="55" bestFit="1" customWidth="1"/>
    <col min="15" max="15" width="15.5703125" style="55" bestFit="1" customWidth="1"/>
    <col min="16" max="16384" width="11.42578125" style="55"/>
  </cols>
  <sheetData>
    <row r="1" spans="1:7" x14ac:dyDescent="0.2">
      <c r="A1" s="52" t="s">
        <v>54</v>
      </c>
      <c r="B1" s="52">
        <v>2016</v>
      </c>
      <c r="C1" s="52" t="s">
        <v>182</v>
      </c>
      <c r="D1" s="52" t="s">
        <v>178</v>
      </c>
      <c r="E1" s="53"/>
      <c r="F1" s="52">
        <v>2017</v>
      </c>
      <c r="G1" s="54" t="s">
        <v>179</v>
      </c>
    </row>
    <row r="2" spans="1:7" x14ac:dyDescent="0.2">
      <c r="A2" s="56" t="s">
        <v>55</v>
      </c>
      <c r="B2" s="57">
        <v>603753183569</v>
      </c>
      <c r="C2" s="57">
        <f>+B2*0.0675</f>
        <v>40753339890.907501</v>
      </c>
      <c r="D2" s="57">
        <f>+B2+C2</f>
        <v>644506523459.90747</v>
      </c>
      <c r="E2" s="53"/>
      <c r="F2" s="57">
        <v>635424645368</v>
      </c>
      <c r="G2" s="58">
        <f>+F2-D2</f>
        <v>-9081878091.9074707</v>
      </c>
    </row>
    <row r="3" spans="1:7" x14ac:dyDescent="0.2">
      <c r="A3" s="56" t="s">
        <v>56</v>
      </c>
      <c r="B3" s="57">
        <v>95262802038</v>
      </c>
      <c r="C3" s="57">
        <f t="shared" ref="C3:C34" si="0">+B3*0.0675</f>
        <v>6430239137.5650005</v>
      </c>
      <c r="D3" s="57">
        <f t="shared" ref="D3:D33" si="1">+B3+C3</f>
        <v>101693041175.565</v>
      </c>
      <c r="E3" s="53"/>
      <c r="F3" s="57">
        <v>100279910860</v>
      </c>
      <c r="G3" s="58">
        <f t="shared" ref="G3:G33" si="2">+F3-D3</f>
        <v>-1413130315.5650024</v>
      </c>
    </row>
    <row r="4" spans="1:7" x14ac:dyDescent="0.2">
      <c r="A4" s="56" t="s">
        <v>57</v>
      </c>
      <c r="B4" s="57">
        <v>60164545098.999992</v>
      </c>
      <c r="C4" s="57">
        <f t="shared" si="0"/>
        <v>4061106794.1824999</v>
      </c>
      <c r="D4" s="57">
        <f t="shared" si="1"/>
        <v>64225651893.182495</v>
      </c>
      <c r="E4" s="53"/>
      <c r="F4" s="57">
        <v>63356075069</v>
      </c>
      <c r="G4" s="58">
        <f t="shared" si="2"/>
        <v>-869576824.18249512</v>
      </c>
    </row>
    <row r="5" spans="1:7" x14ac:dyDescent="0.2">
      <c r="A5" s="56" t="s">
        <v>58</v>
      </c>
      <c r="B5" s="57">
        <v>73164091713</v>
      </c>
      <c r="C5" s="57">
        <f t="shared" si="0"/>
        <v>4938576190.6275005</v>
      </c>
      <c r="D5" s="57">
        <f t="shared" si="1"/>
        <v>78102667903.627502</v>
      </c>
      <c r="E5" s="53"/>
      <c r="F5" s="57">
        <v>77004171931</v>
      </c>
      <c r="G5" s="58">
        <f t="shared" si="2"/>
        <v>-1098495972.6275024</v>
      </c>
    </row>
    <row r="6" spans="1:7" x14ac:dyDescent="0.2">
      <c r="A6" s="56" t="s">
        <v>59</v>
      </c>
      <c r="B6" s="57">
        <v>114974423695</v>
      </c>
      <c r="C6" s="57">
        <f t="shared" si="0"/>
        <v>7760773599.4125004</v>
      </c>
      <c r="D6" s="57">
        <f t="shared" si="1"/>
        <v>122735197294.41251</v>
      </c>
      <c r="E6" s="53"/>
      <c r="F6" s="57">
        <v>121078834253</v>
      </c>
      <c r="G6" s="58">
        <f t="shared" si="2"/>
        <v>-1656363041.4125061</v>
      </c>
    </row>
    <row r="7" spans="1:7" x14ac:dyDescent="0.2">
      <c r="A7" s="56" t="s">
        <v>60</v>
      </c>
      <c r="B7" s="57">
        <v>75227074998.000015</v>
      </c>
      <c r="C7" s="57">
        <f t="shared" si="0"/>
        <v>5077827562.3650017</v>
      </c>
      <c r="D7" s="57">
        <f t="shared" si="1"/>
        <v>80304902560.365021</v>
      </c>
      <c r="E7" s="53"/>
      <c r="F7" s="57">
        <v>79158187293</v>
      </c>
      <c r="G7" s="58">
        <f t="shared" si="2"/>
        <v>-1146715267.3650208</v>
      </c>
    </row>
    <row r="8" spans="1:7" x14ac:dyDescent="0.2">
      <c r="A8" s="56" t="s">
        <v>61</v>
      </c>
      <c r="B8" s="57">
        <v>43343808309</v>
      </c>
      <c r="C8" s="57">
        <f t="shared" si="0"/>
        <v>2925707060.8575001</v>
      </c>
      <c r="D8" s="57">
        <f t="shared" si="1"/>
        <v>46269515369.857498</v>
      </c>
      <c r="E8" s="53"/>
      <c r="F8" s="57">
        <v>45651502324</v>
      </c>
      <c r="G8" s="58">
        <f t="shared" si="2"/>
        <v>-618013045.85749817</v>
      </c>
    </row>
    <row r="9" spans="1:7" x14ac:dyDescent="0.2">
      <c r="A9" s="59" t="s">
        <v>62</v>
      </c>
      <c r="B9" s="57">
        <v>28232318749</v>
      </c>
      <c r="C9" s="57">
        <f t="shared" si="0"/>
        <v>1905681515.5575001</v>
      </c>
      <c r="D9" s="57">
        <f t="shared" si="1"/>
        <v>30138000264.557499</v>
      </c>
      <c r="E9" s="53"/>
      <c r="F9" s="57">
        <v>29730719609</v>
      </c>
      <c r="G9" s="58">
        <f t="shared" si="2"/>
        <v>-407280655.55749893</v>
      </c>
    </row>
    <row r="10" spans="1:7" x14ac:dyDescent="0.2">
      <c r="A10" s="56" t="s">
        <v>63</v>
      </c>
      <c r="B10" s="57">
        <v>89357976163</v>
      </c>
      <c r="C10" s="57">
        <f t="shared" si="0"/>
        <v>6031663391.0025005</v>
      </c>
      <c r="D10" s="57">
        <f t="shared" si="1"/>
        <v>95389639554.002502</v>
      </c>
      <c r="E10" s="53"/>
      <c r="F10" s="57">
        <v>94202195114</v>
      </c>
      <c r="G10" s="58">
        <f t="shared" si="2"/>
        <v>-1187444440.0025024</v>
      </c>
    </row>
    <row r="11" spans="1:7" x14ac:dyDescent="0.2">
      <c r="A11" s="56" t="s">
        <v>64</v>
      </c>
      <c r="B11" s="57">
        <v>29305136112.999996</v>
      </c>
      <c r="C11" s="57">
        <f t="shared" si="0"/>
        <v>1978096687.6274998</v>
      </c>
      <c r="D11" s="57">
        <f t="shared" si="1"/>
        <v>31283232800.627495</v>
      </c>
      <c r="E11" s="53"/>
      <c r="F11" s="57">
        <v>30874186843</v>
      </c>
      <c r="G11" s="58">
        <f t="shared" si="2"/>
        <v>-409045957.62749481</v>
      </c>
    </row>
    <row r="12" spans="1:7" x14ac:dyDescent="0.2">
      <c r="A12" s="56" t="s">
        <v>65</v>
      </c>
      <c r="B12" s="57">
        <v>49878678324</v>
      </c>
      <c r="C12" s="57">
        <f t="shared" si="0"/>
        <v>3366810786.8700004</v>
      </c>
      <c r="D12" s="57">
        <f t="shared" si="1"/>
        <v>53245489110.870003</v>
      </c>
      <c r="E12" s="53"/>
      <c r="F12" s="57">
        <v>52528440100</v>
      </c>
      <c r="G12" s="58">
        <f t="shared" si="2"/>
        <v>-717049010.87000275</v>
      </c>
    </row>
    <row r="13" spans="1:7" x14ac:dyDescent="0.2">
      <c r="A13" s="59" t="s">
        <v>66</v>
      </c>
      <c r="B13" s="57">
        <v>26370281409</v>
      </c>
      <c r="C13" s="57">
        <f t="shared" si="0"/>
        <v>1779993995.1075001</v>
      </c>
      <c r="D13" s="57">
        <f t="shared" si="1"/>
        <v>28150275404.107498</v>
      </c>
      <c r="E13" s="53"/>
      <c r="F13" s="57">
        <v>27781379221</v>
      </c>
      <c r="G13" s="58">
        <f t="shared" si="2"/>
        <v>-368896183.10749817</v>
      </c>
    </row>
    <row r="14" spans="1:7" x14ac:dyDescent="0.2">
      <c r="A14" s="56" t="s">
        <v>67</v>
      </c>
      <c r="B14" s="57">
        <v>21082141997</v>
      </c>
      <c r="C14" s="57">
        <f t="shared" si="0"/>
        <v>1423044584.7975001</v>
      </c>
      <c r="D14" s="57">
        <f t="shared" si="1"/>
        <v>22505186581.797501</v>
      </c>
      <c r="E14" s="53"/>
      <c r="F14" s="57">
        <v>22209836944</v>
      </c>
      <c r="G14" s="58">
        <f t="shared" si="2"/>
        <v>-295349637.79750061</v>
      </c>
    </row>
    <row r="15" spans="1:7" x14ac:dyDescent="0.2">
      <c r="A15" s="56" t="s">
        <v>68</v>
      </c>
      <c r="B15" s="57">
        <v>15891491919</v>
      </c>
      <c r="C15" s="57">
        <f t="shared" si="0"/>
        <v>1072675704.5325</v>
      </c>
      <c r="D15" s="57">
        <f t="shared" si="1"/>
        <v>16964167623.532499</v>
      </c>
      <c r="E15" s="53"/>
      <c r="F15" s="57">
        <v>16753717270.000002</v>
      </c>
      <c r="G15" s="58">
        <f t="shared" si="2"/>
        <v>-210450353.53249741</v>
      </c>
    </row>
    <row r="16" spans="1:7" x14ac:dyDescent="0.2">
      <c r="A16" s="56" t="s">
        <v>69</v>
      </c>
      <c r="B16" s="57">
        <v>16418237009</v>
      </c>
      <c r="C16" s="57">
        <f t="shared" si="0"/>
        <v>1108230998.1075001</v>
      </c>
      <c r="D16" s="57">
        <f t="shared" si="1"/>
        <v>17526468007.107498</v>
      </c>
      <c r="E16" s="53"/>
      <c r="F16" s="57">
        <v>17307561894</v>
      </c>
      <c r="G16" s="58">
        <f t="shared" si="2"/>
        <v>-218906113.10749817</v>
      </c>
    </row>
    <row r="17" spans="1:7" x14ac:dyDescent="0.2">
      <c r="A17" s="56" t="s">
        <v>70</v>
      </c>
      <c r="B17" s="57">
        <v>43736264948</v>
      </c>
      <c r="C17" s="57">
        <f t="shared" si="0"/>
        <v>2952197883.9900002</v>
      </c>
      <c r="D17" s="57">
        <f t="shared" si="1"/>
        <v>46688462831.989998</v>
      </c>
      <c r="E17" s="53"/>
      <c r="F17" s="57">
        <v>46053163756</v>
      </c>
      <c r="G17" s="58">
        <f t="shared" si="2"/>
        <v>-635299075.98999786</v>
      </c>
    </row>
    <row r="18" spans="1:7" x14ac:dyDescent="0.2">
      <c r="A18" s="60" t="s">
        <v>72</v>
      </c>
      <c r="B18" s="57">
        <v>286447187527.00006</v>
      </c>
      <c r="C18" s="57">
        <f t="shared" si="0"/>
        <v>19335185158.072506</v>
      </c>
      <c r="D18" s="57">
        <f t="shared" si="1"/>
        <v>305782372685.07257</v>
      </c>
      <c r="E18" s="53"/>
      <c r="F18" s="57">
        <v>302235538796</v>
      </c>
      <c r="G18" s="58">
        <f t="shared" si="2"/>
        <v>-3546833889.0725708</v>
      </c>
    </row>
    <row r="19" spans="1:7" x14ac:dyDescent="0.2">
      <c r="A19" s="60" t="s">
        <v>73</v>
      </c>
      <c r="B19" s="57">
        <v>75230037509</v>
      </c>
      <c r="C19" s="57">
        <f t="shared" si="0"/>
        <v>5078027531.8575001</v>
      </c>
      <c r="D19" s="57">
        <f t="shared" si="1"/>
        <v>80308065040.857498</v>
      </c>
      <c r="E19" s="53"/>
      <c r="F19" s="57">
        <v>79376554947</v>
      </c>
      <c r="G19" s="58">
        <f t="shared" si="2"/>
        <v>-931510093.85749817</v>
      </c>
    </row>
    <row r="20" spans="1:7" x14ac:dyDescent="0.2">
      <c r="A20" s="60" t="s">
        <v>74</v>
      </c>
      <c r="B20" s="57">
        <v>59175657619.000008</v>
      </c>
      <c r="C20" s="57">
        <f t="shared" si="0"/>
        <v>3994356889.2825007</v>
      </c>
      <c r="D20" s="57">
        <f t="shared" si="1"/>
        <v>63170014508.282509</v>
      </c>
      <c r="E20" s="53"/>
      <c r="F20" s="57">
        <v>62437292258</v>
      </c>
      <c r="G20" s="58">
        <f t="shared" si="2"/>
        <v>-732722250.28250885</v>
      </c>
    </row>
    <row r="21" spans="1:7" x14ac:dyDescent="0.2">
      <c r="A21" s="61" t="s">
        <v>75</v>
      </c>
      <c r="B21" s="57">
        <v>38967796888</v>
      </c>
      <c r="C21" s="57">
        <f t="shared" si="0"/>
        <v>2630326289.9400001</v>
      </c>
      <c r="D21" s="57">
        <f t="shared" si="1"/>
        <v>41598123177.940002</v>
      </c>
      <c r="E21" s="53"/>
      <c r="F21" s="57">
        <v>41115617820</v>
      </c>
      <c r="G21" s="58">
        <f t="shared" si="2"/>
        <v>-482505357.94000244</v>
      </c>
    </row>
    <row r="22" spans="1:7" x14ac:dyDescent="0.2">
      <c r="A22" s="60" t="s">
        <v>76</v>
      </c>
      <c r="B22" s="57">
        <v>108754403861</v>
      </c>
      <c r="C22" s="57">
        <f t="shared" si="0"/>
        <v>7340922260.6175003</v>
      </c>
      <c r="D22" s="57">
        <f t="shared" si="1"/>
        <v>116095326121.61749</v>
      </c>
      <c r="E22" s="53"/>
      <c r="F22" s="57">
        <v>114748712079</v>
      </c>
      <c r="G22" s="58">
        <f t="shared" si="2"/>
        <v>-1346614042.6174927</v>
      </c>
    </row>
    <row r="23" spans="1:7" x14ac:dyDescent="0.2">
      <c r="A23" s="60" t="s">
        <v>77</v>
      </c>
      <c r="B23" s="57">
        <v>53099992359</v>
      </c>
      <c r="C23" s="57">
        <f t="shared" si="0"/>
        <v>3584249484.2325001</v>
      </c>
      <c r="D23" s="57">
        <f t="shared" si="1"/>
        <v>56684241843.232498</v>
      </c>
      <c r="E23" s="53"/>
      <c r="F23" s="57">
        <v>56026749431</v>
      </c>
      <c r="G23" s="58">
        <f t="shared" si="2"/>
        <v>-657492412.23249817</v>
      </c>
    </row>
    <row r="24" spans="1:7" x14ac:dyDescent="0.2">
      <c r="A24" s="60" t="s">
        <v>78</v>
      </c>
      <c r="B24" s="57">
        <v>45401120999.000008</v>
      </c>
      <c r="C24" s="57">
        <f t="shared" si="0"/>
        <v>3064575667.4325008</v>
      </c>
      <c r="D24" s="57">
        <f t="shared" si="1"/>
        <v>48465696666.43251</v>
      </c>
      <c r="E24" s="53"/>
      <c r="F24" s="57">
        <v>47903532884</v>
      </c>
      <c r="G24" s="58">
        <f t="shared" si="2"/>
        <v>-562163782.43251038</v>
      </c>
    </row>
    <row r="25" spans="1:7" x14ac:dyDescent="0.2">
      <c r="A25" s="60" t="s">
        <v>79</v>
      </c>
      <c r="B25" s="57">
        <v>213581428082</v>
      </c>
      <c r="C25" s="57">
        <f t="shared" si="0"/>
        <v>14416746395.535002</v>
      </c>
      <c r="D25" s="57">
        <f t="shared" si="1"/>
        <v>227998174477.535</v>
      </c>
      <c r="E25" s="53"/>
      <c r="F25" s="57">
        <v>225353575821</v>
      </c>
      <c r="G25" s="58">
        <f t="shared" si="2"/>
        <v>-2644598656.5350037</v>
      </c>
    </row>
    <row r="26" spans="1:7" ht="25.5" x14ac:dyDescent="0.2">
      <c r="A26" s="60" t="s">
        <v>80</v>
      </c>
      <c r="B26" s="57">
        <v>18748289618</v>
      </c>
      <c r="C26" s="57">
        <f t="shared" si="0"/>
        <v>1265509549.2150002</v>
      </c>
      <c r="D26" s="57">
        <f t="shared" si="1"/>
        <v>20013799167.215</v>
      </c>
      <c r="E26" s="53"/>
      <c r="F26" s="57">
        <v>19781654912</v>
      </c>
      <c r="G26" s="58">
        <f t="shared" si="2"/>
        <v>-232144255.21500015</v>
      </c>
    </row>
    <row r="27" spans="1:7" x14ac:dyDescent="0.2">
      <c r="A27" s="60" t="s">
        <v>81</v>
      </c>
      <c r="B27" s="57">
        <v>113581893472</v>
      </c>
      <c r="C27" s="57">
        <f t="shared" si="0"/>
        <v>7666777809.3600006</v>
      </c>
      <c r="D27" s="57">
        <f t="shared" si="1"/>
        <v>121248671281.36</v>
      </c>
      <c r="E27" s="53"/>
      <c r="F27" s="57">
        <v>119842282507</v>
      </c>
      <c r="G27" s="58">
        <f t="shared" si="2"/>
        <v>-1406388774.3600006</v>
      </c>
    </row>
    <row r="28" spans="1:7" x14ac:dyDescent="0.2">
      <c r="A28" s="60" t="s">
        <v>82</v>
      </c>
      <c r="B28" s="57">
        <v>50698094927.000008</v>
      </c>
      <c r="C28" s="57">
        <f t="shared" si="0"/>
        <v>3422121407.5725007</v>
      </c>
      <c r="D28" s="57">
        <f t="shared" si="1"/>
        <v>54120216334.57251</v>
      </c>
      <c r="E28" s="53"/>
      <c r="F28" s="57">
        <v>53492464592</v>
      </c>
      <c r="G28" s="58">
        <f t="shared" si="2"/>
        <v>-627751742.57250977</v>
      </c>
    </row>
    <row r="29" spans="1:7" x14ac:dyDescent="0.2">
      <c r="A29" s="61" t="s">
        <v>83</v>
      </c>
      <c r="B29" s="57">
        <v>36297202912</v>
      </c>
      <c r="C29" s="57">
        <f t="shared" si="0"/>
        <v>2450061196.5599999</v>
      </c>
      <c r="D29" s="57">
        <f t="shared" si="1"/>
        <v>38747264108.559998</v>
      </c>
      <c r="E29" s="53"/>
      <c r="F29" s="57">
        <v>38297826463</v>
      </c>
      <c r="G29" s="58">
        <f t="shared" si="2"/>
        <v>-449437645.55999756</v>
      </c>
    </row>
    <row r="30" spans="1:7" x14ac:dyDescent="0.2">
      <c r="A30" s="61" t="s">
        <v>84</v>
      </c>
      <c r="B30" s="57">
        <v>17555386892.000004</v>
      </c>
      <c r="C30" s="57">
        <f t="shared" si="0"/>
        <v>1184988615.2100003</v>
      </c>
      <c r="D30" s="57">
        <f t="shared" si="1"/>
        <v>18740375507.210003</v>
      </c>
      <c r="E30" s="53"/>
      <c r="F30" s="57">
        <v>18523001960</v>
      </c>
      <c r="G30" s="58">
        <f t="shared" si="2"/>
        <v>-217373547.2100029</v>
      </c>
    </row>
    <row r="31" spans="1:7" x14ac:dyDescent="0.2">
      <c r="A31" s="62" t="s">
        <v>85</v>
      </c>
      <c r="B31" s="57">
        <v>20844130521</v>
      </c>
      <c r="C31" s="57">
        <f t="shared" si="0"/>
        <v>1406978810.1675</v>
      </c>
      <c r="D31" s="57">
        <f t="shared" si="1"/>
        <v>22251109331.1675</v>
      </c>
      <c r="E31" s="53"/>
      <c r="F31" s="57">
        <v>21993014046</v>
      </c>
      <c r="G31" s="58">
        <f t="shared" si="2"/>
        <v>-258095285.16749954</v>
      </c>
    </row>
    <row r="32" spans="1:7" x14ac:dyDescent="0.2">
      <c r="A32" s="60" t="s">
        <v>86</v>
      </c>
      <c r="B32" s="57">
        <v>25735422964</v>
      </c>
      <c r="C32" s="57">
        <f t="shared" si="0"/>
        <v>1737141050.0700002</v>
      </c>
      <c r="D32" s="57">
        <f t="shared" si="1"/>
        <v>27472564014.07</v>
      </c>
      <c r="E32" s="53"/>
      <c r="F32" s="57">
        <v>27153903981</v>
      </c>
      <c r="G32" s="58">
        <f t="shared" si="2"/>
        <v>-318660033.06999969</v>
      </c>
    </row>
    <row r="33" spans="1:7" x14ac:dyDescent="0.2">
      <c r="A33" s="60" t="s">
        <v>87</v>
      </c>
      <c r="B33" s="57">
        <v>16717895317.999998</v>
      </c>
      <c r="C33" s="57">
        <f t="shared" si="0"/>
        <v>1128457933.9649999</v>
      </c>
      <c r="D33" s="57">
        <f t="shared" si="1"/>
        <v>17846353251.964996</v>
      </c>
      <c r="E33" s="53"/>
      <c r="F33" s="57">
        <v>17639349656</v>
      </c>
      <c r="G33" s="58">
        <f t="shared" si="2"/>
        <v>-207003595.96499634</v>
      </c>
    </row>
    <row r="34" spans="1:7" x14ac:dyDescent="0.2">
      <c r="A34" s="60" t="s">
        <v>181</v>
      </c>
      <c r="B34" s="57">
        <f>+[1]Total!$H$38</f>
        <v>2140291349</v>
      </c>
      <c r="C34" s="57">
        <f t="shared" si="0"/>
        <v>144469666.0575</v>
      </c>
      <c r="D34" s="57">
        <f t="shared" ref="D34" si="3">+B34+C34</f>
        <v>2284761015.0574999</v>
      </c>
      <c r="E34" s="53"/>
      <c r="F34" s="57">
        <v>2258259593</v>
      </c>
      <c r="G34" s="58">
        <f t="shared" ref="G34" si="4">+F34-D34</f>
        <v>-26501422.057499886</v>
      </c>
    </row>
    <row r="35" spans="1:7" x14ac:dyDescent="0.2">
      <c r="A35" s="63" t="s">
        <v>180</v>
      </c>
      <c r="B35" s="64">
        <f>SUM(B1:B33)</f>
        <v>2566998399536</v>
      </c>
      <c r="C35" s="64">
        <f>SUM(C1:C33)</f>
        <v>173272391832.60007</v>
      </c>
      <c r="D35" s="64">
        <f>SUM(D1:D33)</f>
        <v>2740270789352.5991</v>
      </c>
      <c r="E35" s="65"/>
      <c r="F35" s="64">
        <f>SUM(F1:F33)</f>
        <v>2705315602019</v>
      </c>
      <c r="G35" s="66">
        <f>SUM(G2:G33)</f>
        <v>-34955189350.600075</v>
      </c>
    </row>
    <row r="37" spans="1:7" x14ac:dyDescent="0.2">
      <c r="A37" s="52" t="s">
        <v>54</v>
      </c>
      <c r="B37" s="52">
        <v>2016</v>
      </c>
      <c r="C37" s="52" t="s">
        <v>183</v>
      </c>
      <c r="D37" s="52" t="s">
        <v>178</v>
      </c>
      <c r="E37" s="53"/>
      <c r="F37" s="52">
        <v>2017</v>
      </c>
      <c r="G37" s="54" t="s">
        <v>179</v>
      </c>
    </row>
    <row r="38" spans="1:7" x14ac:dyDescent="0.2">
      <c r="A38" s="56" t="s">
        <v>55</v>
      </c>
      <c r="B38" s="57">
        <v>603753183569</v>
      </c>
      <c r="C38" s="57">
        <f>+B38*0.0575</f>
        <v>34715808055.217499</v>
      </c>
      <c r="D38" s="57">
        <f>+B38+C38</f>
        <v>638468991624.21753</v>
      </c>
      <c r="E38" s="53"/>
      <c r="F38" s="57">
        <v>635424645368</v>
      </c>
      <c r="G38" s="58">
        <f t="shared" ref="G38:G70" si="5">+F38-D38</f>
        <v>-3044346256.2175293</v>
      </c>
    </row>
    <row r="39" spans="1:7" x14ac:dyDescent="0.2">
      <c r="A39" s="56" t="s">
        <v>56</v>
      </c>
      <c r="B39" s="57">
        <v>95262802038</v>
      </c>
      <c r="C39" s="57">
        <f t="shared" ref="C39:C70" si="6">+B39*0.0575</f>
        <v>5477611117.1850004</v>
      </c>
      <c r="D39" s="57">
        <f t="shared" ref="D39:D69" si="7">+B39+C39</f>
        <v>100740413155.185</v>
      </c>
      <c r="E39" s="53"/>
      <c r="F39" s="57">
        <v>100279910860</v>
      </c>
      <c r="G39" s="58">
        <f t="shared" si="5"/>
        <v>-460502295.18499756</v>
      </c>
    </row>
    <row r="40" spans="1:7" x14ac:dyDescent="0.2">
      <c r="A40" s="56" t="s">
        <v>57</v>
      </c>
      <c r="B40" s="57">
        <v>60164545098.999992</v>
      </c>
      <c r="C40" s="57">
        <f t="shared" si="6"/>
        <v>3459461343.1924996</v>
      </c>
      <c r="D40" s="57">
        <f t="shared" si="7"/>
        <v>63624006442.19249</v>
      </c>
      <c r="E40" s="53"/>
      <c r="F40" s="57">
        <v>63356075069</v>
      </c>
      <c r="G40" s="58">
        <f t="shared" si="5"/>
        <v>-267931373.19248962</v>
      </c>
    </row>
    <row r="41" spans="1:7" x14ac:dyDescent="0.2">
      <c r="A41" s="56" t="s">
        <v>58</v>
      </c>
      <c r="B41" s="57">
        <v>73164091713</v>
      </c>
      <c r="C41" s="57">
        <f t="shared" si="6"/>
        <v>4206935273.4975004</v>
      </c>
      <c r="D41" s="57">
        <f t="shared" si="7"/>
        <v>77371026986.497498</v>
      </c>
      <c r="E41" s="53"/>
      <c r="F41" s="57">
        <v>77004171931</v>
      </c>
      <c r="G41" s="58">
        <f t="shared" si="5"/>
        <v>-366855055.49749756</v>
      </c>
    </row>
    <row r="42" spans="1:7" x14ac:dyDescent="0.2">
      <c r="A42" s="56" t="s">
        <v>59</v>
      </c>
      <c r="B42" s="57">
        <v>114974423695</v>
      </c>
      <c r="C42" s="57">
        <f t="shared" si="6"/>
        <v>6611029362.4625006</v>
      </c>
      <c r="D42" s="57">
        <f t="shared" si="7"/>
        <v>121585453057.46249</v>
      </c>
      <c r="E42" s="53"/>
      <c r="F42" s="57">
        <v>121078834253</v>
      </c>
      <c r="G42" s="58">
        <f t="shared" si="5"/>
        <v>-506618804.4624939</v>
      </c>
    </row>
    <row r="43" spans="1:7" x14ac:dyDescent="0.2">
      <c r="A43" s="56" t="s">
        <v>60</v>
      </c>
      <c r="B43" s="57">
        <v>75227074998.000015</v>
      </c>
      <c r="C43" s="57">
        <f t="shared" si="6"/>
        <v>4325556812.3850012</v>
      </c>
      <c r="D43" s="57">
        <f t="shared" si="7"/>
        <v>79552631810.38501</v>
      </c>
      <c r="E43" s="53"/>
      <c r="F43" s="57">
        <v>79158187293</v>
      </c>
      <c r="G43" s="58">
        <f t="shared" si="5"/>
        <v>-394444517.38500977</v>
      </c>
    </row>
    <row r="44" spans="1:7" x14ac:dyDescent="0.2">
      <c r="A44" s="56" t="s">
        <v>61</v>
      </c>
      <c r="B44" s="57">
        <v>43343808309</v>
      </c>
      <c r="C44" s="57">
        <f t="shared" si="6"/>
        <v>2492268977.7674999</v>
      </c>
      <c r="D44" s="57">
        <f t="shared" si="7"/>
        <v>45836077286.767502</v>
      </c>
      <c r="E44" s="53"/>
      <c r="F44" s="57">
        <v>45651502324</v>
      </c>
      <c r="G44" s="58">
        <f t="shared" si="5"/>
        <v>-184574962.76750183</v>
      </c>
    </row>
    <row r="45" spans="1:7" x14ac:dyDescent="0.2">
      <c r="A45" s="59" t="s">
        <v>62</v>
      </c>
      <c r="B45" s="57">
        <v>28232318749</v>
      </c>
      <c r="C45" s="57">
        <f t="shared" si="6"/>
        <v>1623358328.0675001</v>
      </c>
      <c r="D45" s="57">
        <f t="shared" si="7"/>
        <v>29855677077.067501</v>
      </c>
      <c r="E45" s="53"/>
      <c r="F45" s="57">
        <v>29730719609</v>
      </c>
      <c r="G45" s="58">
        <f t="shared" si="5"/>
        <v>-124957468.06750107</v>
      </c>
    </row>
    <row r="46" spans="1:7" x14ac:dyDescent="0.2">
      <c r="A46" s="56" t="s">
        <v>63</v>
      </c>
      <c r="B46" s="57">
        <v>89357976163</v>
      </c>
      <c r="C46" s="57">
        <f t="shared" si="6"/>
        <v>5138083629.3725004</v>
      </c>
      <c r="D46" s="57">
        <f t="shared" si="7"/>
        <v>94496059792.372498</v>
      </c>
      <c r="E46" s="53"/>
      <c r="F46" s="57">
        <v>94202195114</v>
      </c>
      <c r="G46" s="58">
        <f t="shared" si="5"/>
        <v>-293864678.37249756</v>
      </c>
    </row>
    <row r="47" spans="1:7" x14ac:dyDescent="0.2">
      <c r="A47" s="56" t="s">
        <v>64</v>
      </c>
      <c r="B47" s="57">
        <v>29305136112.999996</v>
      </c>
      <c r="C47" s="57">
        <f t="shared" si="6"/>
        <v>1685045326.4974999</v>
      </c>
      <c r="D47" s="57">
        <f t="shared" si="7"/>
        <v>30990181439.497498</v>
      </c>
      <c r="E47" s="53"/>
      <c r="F47" s="57">
        <v>30874186843</v>
      </c>
      <c r="G47" s="58">
        <f t="shared" si="5"/>
        <v>-115994596.49749756</v>
      </c>
    </row>
    <row r="48" spans="1:7" x14ac:dyDescent="0.2">
      <c r="A48" s="56" t="s">
        <v>65</v>
      </c>
      <c r="B48" s="57">
        <v>49878678324</v>
      </c>
      <c r="C48" s="57">
        <f t="shared" si="6"/>
        <v>2868024003.6300001</v>
      </c>
      <c r="D48" s="57">
        <f t="shared" si="7"/>
        <v>52746702327.629997</v>
      </c>
      <c r="E48" s="53"/>
      <c r="F48" s="57">
        <v>52528440100</v>
      </c>
      <c r="G48" s="58">
        <f t="shared" si="5"/>
        <v>-218262227.62999725</v>
      </c>
    </row>
    <row r="49" spans="1:7" x14ac:dyDescent="0.2">
      <c r="A49" s="59" t="s">
        <v>66</v>
      </c>
      <c r="B49" s="57">
        <v>26370281409</v>
      </c>
      <c r="C49" s="57">
        <f t="shared" si="6"/>
        <v>1516291181.0175002</v>
      </c>
      <c r="D49" s="57">
        <f t="shared" si="7"/>
        <v>27886572590.017502</v>
      </c>
      <c r="E49" s="53"/>
      <c r="F49" s="57">
        <v>27781379221</v>
      </c>
      <c r="G49" s="58">
        <f t="shared" si="5"/>
        <v>-105193369.01750183</v>
      </c>
    </row>
    <row r="50" spans="1:7" x14ac:dyDescent="0.2">
      <c r="A50" s="56" t="s">
        <v>67</v>
      </c>
      <c r="B50" s="57">
        <v>21082141997</v>
      </c>
      <c r="C50" s="57">
        <f t="shared" si="6"/>
        <v>1212223164.8275001</v>
      </c>
      <c r="D50" s="57">
        <f t="shared" si="7"/>
        <v>22294365161.827499</v>
      </c>
      <c r="E50" s="53"/>
      <c r="F50" s="57">
        <v>22209836944</v>
      </c>
      <c r="G50" s="58">
        <f t="shared" si="5"/>
        <v>-84528217.82749939</v>
      </c>
    </row>
    <row r="51" spans="1:7" x14ac:dyDescent="0.2">
      <c r="A51" s="56" t="s">
        <v>68</v>
      </c>
      <c r="B51" s="57">
        <v>15891491919</v>
      </c>
      <c r="C51" s="57">
        <f t="shared" si="6"/>
        <v>913760785.34250009</v>
      </c>
      <c r="D51" s="57">
        <f t="shared" si="7"/>
        <v>16805252704.342501</v>
      </c>
      <c r="E51" s="53"/>
      <c r="F51" s="57">
        <v>16753717270.000002</v>
      </c>
      <c r="G51" s="58">
        <f t="shared" si="5"/>
        <v>-51535434.342498779</v>
      </c>
    </row>
    <row r="52" spans="1:7" x14ac:dyDescent="0.2">
      <c r="A52" s="56" t="s">
        <v>69</v>
      </c>
      <c r="B52" s="57">
        <v>16418237009</v>
      </c>
      <c r="C52" s="57">
        <f t="shared" si="6"/>
        <v>944048628.01750004</v>
      </c>
      <c r="D52" s="57">
        <f t="shared" si="7"/>
        <v>17362285637.017502</v>
      </c>
      <c r="E52" s="53"/>
      <c r="F52" s="57">
        <v>17307561894</v>
      </c>
      <c r="G52" s="58">
        <f t="shared" si="5"/>
        <v>-54723743.017501831</v>
      </c>
    </row>
    <row r="53" spans="1:7" x14ac:dyDescent="0.2">
      <c r="A53" s="56" t="s">
        <v>70</v>
      </c>
      <c r="B53" s="57">
        <v>43736264948</v>
      </c>
      <c r="C53" s="57">
        <f t="shared" si="6"/>
        <v>2514835234.5100002</v>
      </c>
      <c r="D53" s="57">
        <f t="shared" si="7"/>
        <v>46251100182.510002</v>
      </c>
      <c r="E53" s="53"/>
      <c r="F53" s="57">
        <v>46053163756</v>
      </c>
      <c r="G53" s="58">
        <f t="shared" si="5"/>
        <v>-197936426.51000214</v>
      </c>
    </row>
    <row r="54" spans="1:7" x14ac:dyDescent="0.2">
      <c r="A54" s="60" t="s">
        <v>72</v>
      </c>
      <c r="B54" s="57">
        <v>286447187527.00006</v>
      </c>
      <c r="C54" s="57">
        <f t="shared" si="6"/>
        <v>16470713282.802504</v>
      </c>
      <c r="D54" s="57">
        <f t="shared" si="7"/>
        <v>302917900809.80255</v>
      </c>
      <c r="E54" s="53"/>
      <c r="F54" s="57">
        <v>302235538796</v>
      </c>
      <c r="G54" s="58">
        <f t="shared" si="5"/>
        <v>-682362013.80255127</v>
      </c>
    </row>
    <row r="55" spans="1:7" x14ac:dyDescent="0.2">
      <c r="A55" s="60" t="s">
        <v>73</v>
      </c>
      <c r="B55" s="57">
        <v>75230037509</v>
      </c>
      <c r="C55" s="57">
        <f t="shared" si="6"/>
        <v>4325727156.7674999</v>
      </c>
      <c r="D55" s="57">
        <f t="shared" si="7"/>
        <v>79555764665.767502</v>
      </c>
      <c r="E55" s="53"/>
      <c r="F55" s="57">
        <v>79376554947</v>
      </c>
      <c r="G55" s="58">
        <f t="shared" si="5"/>
        <v>-179209718.76750183</v>
      </c>
    </row>
    <row r="56" spans="1:7" x14ac:dyDescent="0.2">
      <c r="A56" s="60" t="s">
        <v>74</v>
      </c>
      <c r="B56" s="57">
        <v>59175657619.000008</v>
      </c>
      <c r="C56" s="57">
        <f t="shared" si="6"/>
        <v>3402600313.0925007</v>
      </c>
      <c r="D56" s="57">
        <f t="shared" si="7"/>
        <v>62578257932.092506</v>
      </c>
      <c r="E56" s="53"/>
      <c r="F56" s="57">
        <v>62437292258</v>
      </c>
      <c r="G56" s="58">
        <f t="shared" si="5"/>
        <v>-140965674.09250641</v>
      </c>
    </row>
    <row r="57" spans="1:7" x14ac:dyDescent="0.2">
      <c r="A57" s="61" t="s">
        <v>75</v>
      </c>
      <c r="B57" s="57">
        <v>38967796888</v>
      </c>
      <c r="C57" s="57">
        <f t="shared" si="6"/>
        <v>2240648321.0599999</v>
      </c>
      <c r="D57" s="57">
        <f t="shared" si="7"/>
        <v>41208445209.059998</v>
      </c>
      <c r="E57" s="53"/>
      <c r="F57" s="57">
        <v>41115617820</v>
      </c>
      <c r="G57" s="58">
        <f t="shared" si="5"/>
        <v>-92827389.059997559</v>
      </c>
    </row>
    <row r="58" spans="1:7" x14ac:dyDescent="0.2">
      <c r="A58" s="60" t="s">
        <v>76</v>
      </c>
      <c r="B58" s="57">
        <v>108754403861</v>
      </c>
      <c r="C58" s="57">
        <f t="shared" si="6"/>
        <v>6253378222.0075006</v>
      </c>
      <c r="D58" s="57">
        <f t="shared" si="7"/>
        <v>115007782083.00751</v>
      </c>
      <c r="E58" s="53"/>
      <c r="F58" s="57">
        <v>114748712079</v>
      </c>
      <c r="G58" s="58">
        <f t="shared" si="5"/>
        <v>-259070004.00750732</v>
      </c>
    </row>
    <row r="59" spans="1:7" x14ac:dyDescent="0.2">
      <c r="A59" s="60" t="s">
        <v>77</v>
      </c>
      <c r="B59" s="57">
        <v>53099992359</v>
      </c>
      <c r="C59" s="57">
        <f t="shared" si="6"/>
        <v>3053249560.6424999</v>
      </c>
      <c r="D59" s="57">
        <f t="shared" si="7"/>
        <v>56153241919.642502</v>
      </c>
      <c r="E59" s="53"/>
      <c r="F59" s="57">
        <v>56026749431</v>
      </c>
      <c r="G59" s="58">
        <f t="shared" si="5"/>
        <v>-126492488.64250183</v>
      </c>
    </row>
    <row r="60" spans="1:7" x14ac:dyDescent="0.2">
      <c r="A60" s="60" t="s">
        <v>78</v>
      </c>
      <c r="B60" s="57">
        <v>45401120999.000008</v>
      </c>
      <c r="C60" s="57">
        <f t="shared" si="6"/>
        <v>2610564457.4425006</v>
      </c>
      <c r="D60" s="57">
        <f t="shared" si="7"/>
        <v>48011685456.442505</v>
      </c>
      <c r="E60" s="53"/>
      <c r="F60" s="57">
        <v>47903532884</v>
      </c>
      <c r="G60" s="58">
        <f t="shared" si="5"/>
        <v>-108152572.44250488</v>
      </c>
    </row>
    <row r="61" spans="1:7" x14ac:dyDescent="0.2">
      <c r="A61" s="60" t="s">
        <v>79</v>
      </c>
      <c r="B61" s="57">
        <v>213581428082</v>
      </c>
      <c r="C61" s="57">
        <f t="shared" si="6"/>
        <v>12280932114.715</v>
      </c>
      <c r="D61" s="57">
        <f t="shared" si="7"/>
        <v>225862360196.715</v>
      </c>
      <c r="E61" s="53"/>
      <c r="F61" s="57">
        <v>225353575821</v>
      </c>
      <c r="G61" s="58">
        <f t="shared" si="5"/>
        <v>-508784375.71499634</v>
      </c>
    </row>
    <row r="62" spans="1:7" x14ac:dyDescent="0.2">
      <c r="A62" s="60" t="s">
        <v>80</v>
      </c>
      <c r="B62" s="57">
        <v>18748289618</v>
      </c>
      <c r="C62" s="57">
        <f t="shared" si="6"/>
        <v>1078026653.0350001</v>
      </c>
      <c r="D62" s="57">
        <f t="shared" si="7"/>
        <v>19826316271.035</v>
      </c>
      <c r="E62" s="53"/>
      <c r="F62" s="57">
        <v>19781654912</v>
      </c>
      <c r="G62" s="58">
        <f t="shared" si="5"/>
        <v>-44661359.034999847</v>
      </c>
    </row>
    <row r="63" spans="1:7" x14ac:dyDescent="0.2">
      <c r="A63" s="60" t="s">
        <v>81</v>
      </c>
      <c r="B63" s="57">
        <v>113581893472</v>
      </c>
      <c r="C63" s="57">
        <f t="shared" si="6"/>
        <v>6530958874.6400003</v>
      </c>
      <c r="D63" s="57">
        <f t="shared" si="7"/>
        <v>120112852346.64</v>
      </c>
      <c r="E63" s="53"/>
      <c r="F63" s="57">
        <v>119842282507</v>
      </c>
      <c r="G63" s="58">
        <f t="shared" si="5"/>
        <v>-270569839.63999939</v>
      </c>
    </row>
    <row r="64" spans="1:7" x14ac:dyDescent="0.2">
      <c r="A64" s="60" t="s">
        <v>82</v>
      </c>
      <c r="B64" s="57">
        <v>50698094927.000008</v>
      </c>
      <c r="C64" s="57">
        <f t="shared" si="6"/>
        <v>2915140458.3025007</v>
      </c>
      <c r="D64" s="57">
        <f t="shared" si="7"/>
        <v>53613235385.302505</v>
      </c>
      <c r="E64" s="53"/>
      <c r="F64" s="57">
        <v>53492464592</v>
      </c>
      <c r="G64" s="58">
        <f t="shared" si="5"/>
        <v>-120770793.30250549</v>
      </c>
    </row>
    <row r="65" spans="1:7" x14ac:dyDescent="0.2">
      <c r="A65" s="61" t="s">
        <v>83</v>
      </c>
      <c r="B65" s="57">
        <v>36297202912</v>
      </c>
      <c r="C65" s="57">
        <f t="shared" si="6"/>
        <v>2087089167.4400001</v>
      </c>
      <c r="D65" s="57">
        <f t="shared" si="7"/>
        <v>38384292079.440002</v>
      </c>
      <c r="E65" s="53"/>
      <c r="F65" s="57">
        <v>38297826463</v>
      </c>
      <c r="G65" s="58">
        <f t="shared" si="5"/>
        <v>-86465616.440002441</v>
      </c>
    </row>
    <row r="66" spans="1:7" x14ac:dyDescent="0.2">
      <c r="A66" s="61" t="s">
        <v>84</v>
      </c>
      <c r="B66" s="57">
        <v>17555386892.000004</v>
      </c>
      <c r="C66" s="57">
        <f t="shared" si="6"/>
        <v>1009434746.2900003</v>
      </c>
      <c r="D66" s="57">
        <f t="shared" si="7"/>
        <v>18564821638.290005</v>
      </c>
      <c r="E66" s="53"/>
      <c r="F66" s="57">
        <v>18523001960</v>
      </c>
      <c r="G66" s="58">
        <f t="shared" si="5"/>
        <v>-41819678.29000473</v>
      </c>
    </row>
    <row r="67" spans="1:7" x14ac:dyDescent="0.2">
      <c r="A67" s="62" t="s">
        <v>85</v>
      </c>
      <c r="B67" s="57">
        <v>20844130521</v>
      </c>
      <c r="C67" s="57">
        <f t="shared" si="6"/>
        <v>1198537504.9575</v>
      </c>
      <c r="D67" s="57">
        <f t="shared" si="7"/>
        <v>22042668025.9575</v>
      </c>
      <c r="E67" s="53"/>
      <c r="F67" s="57">
        <v>21993014046</v>
      </c>
      <c r="G67" s="58">
        <f t="shared" si="5"/>
        <v>-49653979.957500458</v>
      </c>
    </row>
    <row r="68" spans="1:7" x14ac:dyDescent="0.2">
      <c r="A68" s="60" t="s">
        <v>86</v>
      </c>
      <c r="B68" s="57">
        <v>25735422964</v>
      </c>
      <c r="C68" s="57">
        <f t="shared" si="6"/>
        <v>1479786820.4300001</v>
      </c>
      <c r="D68" s="57">
        <f t="shared" si="7"/>
        <v>27215209784.43</v>
      </c>
      <c r="E68" s="53"/>
      <c r="F68" s="57">
        <v>27153903981</v>
      </c>
      <c r="G68" s="58">
        <f t="shared" si="5"/>
        <v>-61305803.430000305</v>
      </c>
    </row>
    <row r="69" spans="1:7" x14ac:dyDescent="0.2">
      <c r="A69" s="60" t="s">
        <v>87</v>
      </c>
      <c r="B69" s="57">
        <v>16717895317.999998</v>
      </c>
      <c r="C69" s="57">
        <f t="shared" si="6"/>
        <v>961278980.78499997</v>
      </c>
      <c r="D69" s="57">
        <f t="shared" si="7"/>
        <v>17679174298.785</v>
      </c>
      <c r="E69" s="53"/>
      <c r="F69" s="57">
        <v>17639349656</v>
      </c>
      <c r="G69" s="58">
        <f t="shared" si="5"/>
        <v>-39824642.784999847</v>
      </c>
    </row>
    <row r="70" spans="1:7" x14ac:dyDescent="0.2">
      <c r="A70" s="60" t="s">
        <v>181</v>
      </c>
      <c r="B70" s="57">
        <f>+[1]Total!$H$38</f>
        <v>2140291349</v>
      </c>
      <c r="C70" s="57">
        <f t="shared" si="6"/>
        <v>123066752.56750001</v>
      </c>
      <c r="D70" s="57">
        <f t="shared" ref="D70" si="8">+B70+C70</f>
        <v>2263358101.5675001</v>
      </c>
      <c r="E70" s="53"/>
      <c r="F70" s="57">
        <v>2258259593</v>
      </c>
      <c r="G70" s="58">
        <f t="shared" si="5"/>
        <v>-5098508.5675001144</v>
      </c>
    </row>
    <row r="71" spans="1:7" x14ac:dyDescent="0.2">
      <c r="A71" s="63" t="s">
        <v>180</v>
      </c>
      <c r="B71" s="64">
        <f>SUM(B37:B69)</f>
        <v>2566998399536</v>
      </c>
      <c r="C71" s="64">
        <f>SUM(C37:C69)</f>
        <v>147602407857.39999</v>
      </c>
      <c r="D71" s="64">
        <f>SUM(D37:D69)</f>
        <v>2714600805377.4009</v>
      </c>
      <c r="E71" s="65"/>
      <c r="F71" s="64">
        <f>SUM(F37:F69)</f>
        <v>2705315602019</v>
      </c>
      <c r="G71" s="66">
        <f>SUM(G38:G69)</f>
        <v>-9285205375.4000969</v>
      </c>
    </row>
  </sheetData>
  <pageMargins left="0.7" right="0.7" top="0.75" bottom="0.75" header="0.3" footer="0.3"/>
  <pageSetup paperSize="4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3"/>
  <sheetViews>
    <sheetView showGridLines="0" workbookViewId="0">
      <selection activeCell="N14" sqref="N14"/>
    </sheetView>
  </sheetViews>
  <sheetFormatPr baseColWidth="10" defaultRowHeight="12.75" x14ac:dyDescent="0.2"/>
  <cols>
    <col min="1" max="1" width="13.28515625" bestFit="1" customWidth="1"/>
    <col min="3" max="3" width="6" bestFit="1" customWidth="1"/>
    <col min="4" max="4" width="7.28515625" bestFit="1" customWidth="1"/>
    <col min="5" max="5" width="7.42578125" bestFit="1" customWidth="1"/>
    <col min="6" max="6" width="7.85546875" bestFit="1" customWidth="1"/>
    <col min="7" max="8" width="7.28515625" bestFit="1" customWidth="1"/>
    <col min="9" max="9" width="7.85546875" bestFit="1" customWidth="1"/>
    <col min="10" max="10" width="9.5703125" bestFit="1" customWidth="1"/>
  </cols>
  <sheetData>
    <row r="1" spans="1:10" ht="15.75" x14ac:dyDescent="0.2">
      <c r="A1" s="162" t="s">
        <v>188</v>
      </c>
      <c r="B1" s="162"/>
      <c r="C1" s="69">
        <v>2010</v>
      </c>
      <c r="D1" s="69">
        <v>2011</v>
      </c>
      <c r="E1" s="69">
        <v>2012</v>
      </c>
      <c r="F1" s="69">
        <v>2013</v>
      </c>
      <c r="G1" s="69">
        <v>2014</v>
      </c>
      <c r="H1" s="69">
        <v>2015</v>
      </c>
      <c r="I1" s="69">
        <v>2016</v>
      </c>
      <c r="J1" s="69">
        <v>2017</v>
      </c>
    </row>
    <row r="2" spans="1:10" x14ac:dyDescent="0.2">
      <c r="A2" s="163" t="s">
        <v>19</v>
      </c>
      <c r="B2" s="70" t="s">
        <v>26</v>
      </c>
      <c r="C2" s="33" t="e">
        <f>+UNIVERSIDADES!#REF!</f>
        <v>#REF!</v>
      </c>
      <c r="D2" s="33" t="e">
        <f>+UNIVERSIDADES!#REF!</f>
        <v>#REF!</v>
      </c>
      <c r="E2" s="33" t="e">
        <f>+UNIVERSIDADES!#REF!</f>
        <v>#REF!</v>
      </c>
      <c r="F2" s="33" t="e">
        <f>+UNIVERSIDADES!#REF!</f>
        <v>#REF!</v>
      </c>
      <c r="G2" s="33" t="e">
        <f>+UNIVERSIDADES!#REF!</f>
        <v>#REF!</v>
      </c>
      <c r="H2" s="23" t="e">
        <f>+UNIVERSIDADES!#REF!</f>
        <v>#REF!</v>
      </c>
      <c r="I2" s="23" t="e">
        <f>+UNIVERSIDADES!#REF!</f>
        <v>#REF!</v>
      </c>
      <c r="J2" s="23" t="e">
        <f>+UNIVERSIDADES!#REF!</f>
        <v>#REF!</v>
      </c>
    </row>
    <row r="3" spans="1:10" ht="22.5" x14ac:dyDescent="0.2">
      <c r="A3" s="163"/>
      <c r="B3" s="71" t="s">
        <v>32</v>
      </c>
      <c r="C3" s="33" t="e">
        <f>+UNIVERSIDADES!#REF!</f>
        <v>#REF!</v>
      </c>
      <c r="D3" s="33" t="e">
        <f>+UNIVERSIDADES!#REF!</f>
        <v>#REF!</v>
      </c>
      <c r="E3" s="33" t="e">
        <f>+UNIVERSIDADES!#REF!</f>
        <v>#REF!</v>
      </c>
      <c r="F3" s="33" t="e">
        <f>+UNIVERSIDADES!#REF!</f>
        <v>#REF!</v>
      </c>
      <c r="G3" s="33" t="e">
        <f>+UNIVERSIDADES!#REF!</f>
        <v>#REF!</v>
      </c>
      <c r="H3" s="23" t="e">
        <f>+UNIVERSIDADES!#REF!</f>
        <v>#REF!</v>
      </c>
      <c r="I3" s="23" t="e">
        <f>+UNIVERSIDADES!#REF!</f>
        <v>#REF!</v>
      </c>
      <c r="J3" s="23" t="e">
        <f>+UNIVERSIDADES!#REF!</f>
        <v>#REF!</v>
      </c>
    </row>
    <row r="4" spans="1:10" ht="22.5" x14ac:dyDescent="0.2">
      <c r="A4" s="163"/>
      <c r="B4" s="85" t="s">
        <v>233</v>
      </c>
      <c r="C4" s="33"/>
      <c r="D4" s="33"/>
      <c r="E4" s="33"/>
      <c r="F4" s="33"/>
      <c r="G4" s="33"/>
      <c r="H4" s="23"/>
      <c r="I4" s="23" t="e">
        <f>+UNIVERSIDADES!#REF!</f>
        <v>#REF!</v>
      </c>
      <c r="J4" s="23"/>
    </row>
    <row r="5" spans="1:10" x14ac:dyDescent="0.2">
      <c r="A5" s="163"/>
      <c r="B5" s="70" t="s">
        <v>189</v>
      </c>
      <c r="C5" s="33" t="e">
        <f>+UNIVERSIDADES!#REF!</f>
        <v>#REF!</v>
      </c>
      <c r="D5" s="72"/>
      <c r="E5" s="33" t="e">
        <f>+UNIVERSIDADES!#REF!</f>
        <v>#REF!</v>
      </c>
      <c r="F5" s="23"/>
      <c r="G5" s="72"/>
      <c r="H5" s="23" t="e">
        <f>+UNIVERSIDADES!#REF!+UNIVERSIDADES!#REF!</f>
        <v>#REF!</v>
      </c>
      <c r="I5" s="23" t="e">
        <f>+UNIVERSIDADES!#REF!</f>
        <v>#REF!</v>
      </c>
      <c r="J5" s="23"/>
    </row>
    <row r="6" spans="1:10" x14ac:dyDescent="0.2">
      <c r="A6" s="163"/>
      <c r="B6" s="70" t="s">
        <v>31</v>
      </c>
      <c r="C6" s="33" t="e">
        <f>+UNIVERSIDADES!#REF!</f>
        <v>#REF!</v>
      </c>
      <c r="D6" s="33" t="e">
        <f>+UNIVERSIDADES!#REF!</f>
        <v>#REF!</v>
      </c>
      <c r="E6" s="33" t="e">
        <f>+UNIVERSIDADES!#REF!</f>
        <v>#REF!</v>
      </c>
      <c r="F6" s="23" t="e">
        <f>+UNIVERSIDADES!#REF!</f>
        <v>#REF!</v>
      </c>
      <c r="G6" s="23" t="e">
        <f>+UNIVERSIDADES!#REF!</f>
        <v>#REF!</v>
      </c>
      <c r="H6" s="23" t="e">
        <f>+UNIVERSIDADES!#REF!</f>
        <v>#REF!</v>
      </c>
      <c r="I6" s="23" t="e">
        <f>+UNIVERSIDADES!#REF!</f>
        <v>#REF!</v>
      </c>
      <c r="J6" s="23" t="e">
        <f>+UNIVERSIDADES!#REF!</f>
        <v>#REF!</v>
      </c>
    </row>
    <row r="7" spans="1:10" ht="33.75" x14ac:dyDescent="0.2">
      <c r="A7" s="163"/>
      <c r="B7" s="70" t="s">
        <v>35</v>
      </c>
      <c r="C7" s="33" t="e">
        <f>+UNIVERSIDADES!#REF!</f>
        <v>#REF!</v>
      </c>
      <c r="D7" s="33" t="e">
        <f>+UNIVERSIDADES!#REF!</f>
        <v>#REF!</v>
      </c>
      <c r="E7" s="33" t="e">
        <f>+UNIVERSIDADES!#REF!</f>
        <v>#REF!</v>
      </c>
      <c r="F7" s="33" t="e">
        <f>+UNIVERSIDADES!#REF!</f>
        <v>#REF!</v>
      </c>
      <c r="G7" s="33" t="e">
        <f>+UNIVERSIDADES!#REF!</f>
        <v>#REF!</v>
      </c>
      <c r="H7" s="23" t="e">
        <f>+UNIVERSIDADES!#REF!</f>
        <v>#REF!</v>
      </c>
      <c r="I7" s="23" t="e">
        <f>+UNIVERSIDADES!#REF!</f>
        <v>#REF!</v>
      </c>
      <c r="J7" s="23" t="e">
        <f>+UNIVERSIDADES!#REF!</f>
        <v>#REF!</v>
      </c>
    </row>
    <row r="8" spans="1:10" ht="33.75" x14ac:dyDescent="0.2">
      <c r="A8" s="163"/>
      <c r="B8" s="70" t="s">
        <v>42</v>
      </c>
      <c r="C8" s="73"/>
      <c r="D8" s="72"/>
      <c r="E8" s="72"/>
      <c r="F8" s="23" t="e">
        <f>+UNIVERSIDADES!#REF!</f>
        <v>#REF!</v>
      </c>
      <c r="G8" s="72"/>
      <c r="H8" s="72"/>
      <c r="I8" s="72"/>
      <c r="J8" s="72"/>
    </row>
    <row r="9" spans="1:10" ht="22.5" x14ac:dyDescent="0.2">
      <c r="A9" s="163"/>
      <c r="B9" s="70" t="s">
        <v>184</v>
      </c>
      <c r="C9" s="73"/>
      <c r="D9" s="72"/>
      <c r="E9" s="72"/>
      <c r="F9" s="23" t="e">
        <f>+UNIVERSIDADES!#REF!+UNIVERSIDADES!#REF!</f>
        <v>#REF!</v>
      </c>
      <c r="G9" s="72"/>
      <c r="H9" s="72"/>
      <c r="I9" s="72"/>
      <c r="J9" s="72"/>
    </row>
    <row r="10" spans="1:10" x14ac:dyDescent="0.2">
      <c r="A10" s="162" t="s">
        <v>38</v>
      </c>
      <c r="B10" s="162"/>
      <c r="C10" s="74" t="e">
        <f>+UNIVERSIDADES!#REF!</f>
        <v>#REF!</v>
      </c>
      <c r="D10" s="74" t="e">
        <f>+UNIVERSIDADES!#REF!</f>
        <v>#REF!</v>
      </c>
      <c r="E10" s="74" t="e">
        <f>+UNIVERSIDADES!#REF!</f>
        <v>#REF!</v>
      </c>
      <c r="F10" s="74" t="e">
        <f>+UNIVERSIDADES!#REF!</f>
        <v>#REF!</v>
      </c>
      <c r="G10" s="75" t="e">
        <f>+UNIVERSIDADES!#REF!</f>
        <v>#REF!</v>
      </c>
      <c r="H10" s="75" t="e">
        <f>+UNIVERSIDADES!#REF!</f>
        <v>#REF!</v>
      </c>
      <c r="I10" s="75" t="e">
        <f>+UNIVERSIDADES!#REF!</f>
        <v>#REF!</v>
      </c>
      <c r="J10" s="75" t="e">
        <f>+UNIVERSIDADES!#REF!</f>
        <v>#REF!</v>
      </c>
    </row>
    <row r="11" spans="1:10" x14ac:dyDescent="0.2">
      <c r="A11" s="164" t="s">
        <v>14</v>
      </c>
      <c r="B11" s="70" t="s">
        <v>39</v>
      </c>
      <c r="C11" s="33" t="e">
        <f>+UNIVERSIDADES!#REF!</f>
        <v>#REF!</v>
      </c>
      <c r="D11" s="33" t="e">
        <f>+UNIVERSIDADES!#REF!</f>
        <v>#REF!</v>
      </c>
      <c r="E11" s="33" t="e">
        <f>+UNIVERSIDADES!#REF!</f>
        <v>#REF!</v>
      </c>
      <c r="F11" s="33" t="e">
        <f>+UNIVERSIDADES!#REF!</f>
        <v>#REF!</v>
      </c>
      <c r="G11" s="33" t="e">
        <f>+UNIVERSIDADES!#REF!</f>
        <v>#REF!</v>
      </c>
      <c r="H11" s="23" t="e">
        <f>+UNIVERSIDADES!#REF!</f>
        <v>#REF!</v>
      </c>
      <c r="I11" s="23" t="e">
        <f>+UNIVERSIDADES!#REF!</f>
        <v>#REF!</v>
      </c>
      <c r="J11" s="23" t="e">
        <f>+UNIVERSIDADES!#REF!</f>
        <v>#REF!</v>
      </c>
    </row>
    <row r="12" spans="1:10" ht="22.5" x14ac:dyDescent="0.2">
      <c r="A12" s="164"/>
      <c r="B12" s="70" t="s">
        <v>185</v>
      </c>
      <c r="C12" s="33" t="e">
        <f>+UNIVERSIDADES!#REF!</f>
        <v>#REF!</v>
      </c>
      <c r="D12" s="33"/>
      <c r="E12" s="72"/>
      <c r="F12" s="72"/>
      <c r="G12" s="72"/>
      <c r="H12" s="23"/>
      <c r="I12" s="72"/>
      <c r="J12" s="72"/>
    </row>
    <row r="13" spans="1:10" ht="33.75" x14ac:dyDescent="0.2">
      <c r="A13" s="164"/>
      <c r="B13" s="70" t="s">
        <v>40</v>
      </c>
      <c r="C13" s="33" t="e">
        <f>+UNIVERSIDADES!#REF!</f>
        <v>#REF!</v>
      </c>
      <c r="D13" s="33" t="e">
        <f>+UNIVERSIDADES!#REF!</f>
        <v>#REF!</v>
      </c>
      <c r="E13" s="33" t="e">
        <f>+UNIVERSIDADES!#REF!</f>
        <v>#REF!</v>
      </c>
      <c r="F13" s="33" t="e">
        <f>+UNIVERSIDADES!#REF!</f>
        <v>#REF!</v>
      </c>
      <c r="G13" s="72"/>
      <c r="H13" s="23"/>
      <c r="I13" s="72"/>
      <c r="J13" s="72"/>
    </row>
    <row r="14" spans="1:10" x14ac:dyDescent="0.2">
      <c r="A14" s="164"/>
      <c r="B14" s="70" t="s">
        <v>89</v>
      </c>
      <c r="C14" s="33"/>
      <c r="D14" s="72"/>
      <c r="E14" s="33"/>
      <c r="F14" s="33"/>
      <c r="G14" s="72"/>
      <c r="H14" s="23" t="e">
        <f>+UNIVERSIDADES!#REF!</f>
        <v>#REF!</v>
      </c>
      <c r="I14" s="23" t="e">
        <f>+UNIVERSIDADES!#REF!</f>
        <v>#REF!</v>
      </c>
      <c r="J14" s="23" t="e">
        <f>+UNIVERSIDADES!#REF!</f>
        <v>#REF!</v>
      </c>
    </row>
    <row r="15" spans="1:10" x14ac:dyDescent="0.2">
      <c r="A15" s="164"/>
      <c r="B15" s="70" t="s">
        <v>186</v>
      </c>
      <c r="C15" s="33"/>
      <c r="D15" s="72"/>
      <c r="E15" s="33"/>
      <c r="F15" s="33" t="e">
        <f>+UNIVERSIDADES!#REF!</f>
        <v>#REF!</v>
      </c>
      <c r="G15" s="33" t="e">
        <f>+UNIVERSIDADES!#REF!</f>
        <v>#REF!</v>
      </c>
      <c r="H15" s="23" t="e">
        <f>+UNIVERSIDADES!#REF!+UNIVERSIDADES!#REF!</f>
        <v>#REF!</v>
      </c>
      <c r="I15" s="23" t="e">
        <f>+UNIVERSIDADES!#REF!</f>
        <v>#REF!</v>
      </c>
      <c r="J15" s="23" t="e">
        <f>+UNIVERSIDADES!#REF!</f>
        <v>#REF!</v>
      </c>
    </row>
    <row r="16" spans="1:10" x14ac:dyDescent="0.2">
      <c r="A16" s="162" t="s">
        <v>41</v>
      </c>
      <c r="B16" s="162"/>
      <c r="C16" s="74" t="e">
        <f>+UNIVERSIDADES!#REF!</f>
        <v>#REF!</v>
      </c>
      <c r="D16" s="74" t="e">
        <f>+UNIVERSIDADES!#REF!</f>
        <v>#REF!</v>
      </c>
      <c r="E16" s="74" t="e">
        <f>+UNIVERSIDADES!#REF!</f>
        <v>#REF!</v>
      </c>
      <c r="F16" s="74" t="e">
        <f>+UNIVERSIDADES!#REF!</f>
        <v>#REF!</v>
      </c>
      <c r="G16" s="75" t="e">
        <f>+UNIVERSIDADES!#REF!</f>
        <v>#REF!</v>
      </c>
      <c r="H16" s="75" t="e">
        <f>+UNIVERSIDADES!#REF!</f>
        <v>#REF!</v>
      </c>
      <c r="I16" s="75" t="e">
        <f>+UNIVERSIDADES!#REF!</f>
        <v>#REF!</v>
      </c>
      <c r="J16" s="75" t="e">
        <f>+UNIVERSIDADES!#REF!</f>
        <v>#REF!</v>
      </c>
    </row>
    <row r="17" spans="1:10" x14ac:dyDescent="0.2">
      <c r="A17" s="155" t="s">
        <v>187</v>
      </c>
      <c r="B17" s="155"/>
      <c r="C17" s="74" t="e">
        <f>+C10+C16</f>
        <v>#REF!</v>
      </c>
      <c r="D17" s="74" t="e">
        <f t="shared" ref="D17:I17" si="0">+D10+D16</f>
        <v>#REF!</v>
      </c>
      <c r="E17" s="74" t="e">
        <f t="shared" si="0"/>
        <v>#REF!</v>
      </c>
      <c r="F17" s="74" t="e">
        <f t="shared" si="0"/>
        <v>#REF!</v>
      </c>
      <c r="G17" s="74" t="e">
        <f t="shared" si="0"/>
        <v>#REF!</v>
      </c>
      <c r="H17" s="74" t="e">
        <f t="shared" si="0"/>
        <v>#REF!</v>
      </c>
      <c r="I17" s="74" t="e">
        <f t="shared" si="0"/>
        <v>#REF!</v>
      </c>
      <c r="J17" s="74" t="e">
        <f t="shared" ref="J17" si="1">+J10+J16</f>
        <v>#REF!</v>
      </c>
    </row>
    <row r="19" spans="1:10" x14ac:dyDescent="0.2">
      <c r="C19" s="76" t="e">
        <f>+C10-SUM(C2:C9)</f>
        <v>#REF!</v>
      </c>
      <c r="D19" s="76" t="e">
        <f t="shared" ref="D19:I19" si="2">+D10-SUM(D2:D9)</f>
        <v>#REF!</v>
      </c>
      <c r="E19" s="76" t="e">
        <f t="shared" si="2"/>
        <v>#REF!</v>
      </c>
      <c r="F19" s="76" t="e">
        <f t="shared" si="2"/>
        <v>#REF!</v>
      </c>
      <c r="G19" s="76" t="e">
        <f t="shared" si="2"/>
        <v>#REF!</v>
      </c>
      <c r="H19" s="76" t="e">
        <f t="shared" si="2"/>
        <v>#REF!</v>
      </c>
      <c r="I19" s="76" t="e">
        <f t="shared" si="2"/>
        <v>#REF!</v>
      </c>
      <c r="J19" s="76" t="e">
        <f t="shared" ref="J19" si="3">+J10-SUM(J2:J9)</f>
        <v>#REF!</v>
      </c>
    </row>
    <row r="20" spans="1:10" x14ac:dyDescent="0.2">
      <c r="C20" s="76" t="e">
        <f>+C16-SUM(C11:C15)</f>
        <v>#REF!</v>
      </c>
      <c r="D20" s="76" t="e">
        <f t="shared" ref="D20:I20" si="4">+D16-SUM(D11:D15)</f>
        <v>#REF!</v>
      </c>
      <c r="E20" s="76" t="e">
        <f t="shared" si="4"/>
        <v>#REF!</v>
      </c>
      <c r="F20" s="76" t="e">
        <f t="shared" si="4"/>
        <v>#REF!</v>
      </c>
      <c r="G20" s="76" t="e">
        <f t="shared" si="4"/>
        <v>#REF!</v>
      </c>
      <c r="H20" s="76" t="e">
        <f t="shared" si="4"/>
        <v>#REF!</v>
      </c>
      <c r="I20" s="76" t="e">
        <f t="shared" si="4"/>
        <v>#REF!</v>
      </c>
      <c r="J20" s="76" t="e">
        <f t="shared" ref="J20" si="5">+J16-SUM(J11:J15)</f>
        <v>#REF!</v>
      </c>
    </row>
    <row r="21" spans="1:10" x14ac:dyDescent="0.2">
      <c r="D21" s="82"/>
    </row>
    <row r="22" spans="1:10" ht="15.75" x14ac:dyDescent="0.2">
      <c r="A22" s="156" t="s">
        <v>231</v>
      </c>
      <c r="B22" s="157"/>
      <c r="C22" s="158"/>
      <c r="D22" s="69">
        <v>2010</v>
      </c>
      <c r="E22" s="69">
        <v>2011</v>
      </c>
      <c r="F22" s="69">
        <v>2012</v>
      </c>
      <c r="G22" s="69">
        <v>2013</v>
      </c>
      <c r="H22" s="69">
        <v>2014</v>
      </c>
      <c r="I22" s="69">
        <v>2015</v>
      </c>
      <c r="J22" s="69">
        <v>2016</v>
      </c>
    </row>
    <row r="23" spans="1:10" x14ac:dyDescent="0.2">
      <c r="A23" s="159"/>
      <c r="B23" s="160"/>
      <c r="C23" s="161"/>
      <c r="D23" s="83">
        <v>3.1699999999999999E-2</v>
      </c>
      <c r="E23" s="83">
        <v>3.73E-2</v>
      </c>
      <c r="F23" s="83">
        <v>2.4400000000000002E-2</v>
      </c>
      <c r="G23" s="83">
        <v>1.9400000000000001E-2</v>
      </c>
      <c r="H23" s="83">
        <v>3.6600000000000001E-2</v>
      </c>
      <c r="I23" s="83">
        <v>6.7699999999999996E-2</v>
      </c>
      <c r="J23" s="83">
        <v>5.7500000000000002E-2</v>
      </c>
    </row>
    <row r="26" spans="1:10" x14ac:dyDescent="0.2">
      <c r="A26" s="155" t="s">
        <v>232</v>
      </c>
      <c r="B26" s="155"/>
      <c r="C26" s="74" t="e">
        <f>+C2+C5</f>
        <v>#REF!</v>
      </c>
      <c r="D26" s="74" t="e">
        <f t="shared" ref="D26:J26" si="6">+D2+D5</f>
        <v>#REF!</v>
      </c>
      <c r="E26" s="74" t="e">
        <f t="shared" si="6"/>
        <v>#REF!</v>
      </c>
      <c r="F26" s="74" t="e">
        <f>+F2+F5+F8+F9</f>
        <v>#REF!</v>
      </c>
      <c r="G26" s="74" t="e">
        <f t="shared" si="6"/>
        <v>#REF!</v>
      </c>
      <c r="H26" s="74" t="e">
        <f t="shared" si="6"/>
        <v>#REF!</v>
      </c>
      <c r="I26" s="74" t="e">
        <f t="shared" si="6"/>
        <v>#REF!</v>
      </c>
      <c r="J26" s="74" t="e">
        <f t="shared" si="6"/>
        <v>#REF!</v>
      </c>
    </row>
    <row r="27" spans="1:10" x14ac:dyDescent="0.2">
      <c r="D27" s="84" t="e">
        <f>+(D26-C26)/D26</f>
        <v>#REF!</v>
      </c>
      <c r="E27" s="84" t="e">
        <f t="shared" ref="E27:J27" si="7">+(E26-D26)/E26</f>
        <v>#REF!</v>
      </c>
      <c r="F27" s="84" t="e">
        <f t="shared" si="7"/>
        <v>#REF!</v>
      </c>
      <c r="G27" s="84" t="e">
        <f t="shared" si="7"/>
        <v>#REF!</v>
      </c>
      <c r="H27" s="84" t="e">
        <f t="shared" si="7"/>
        <v>#REF!</v>
      </c>
      <c r="I27" s="84" t="e">
        <f t="shared" si="7"/>
        <v>#REF!</v>
      </c>
      <c r="J27" s="84" t="e">
        <f t="shared" si="7"/>
        <v>#REF!</v>
      </c>
    </row>
    <row r="28" spans="1:10" ht="6" customHeight="1" x14ac:dyDescent="0.2"/>
    <row r="29" spans="1:10" x14ac:dyDescent="0.2">
      <c r="D29" s="76" t="e">
        <f>GESTEP(D27,D23)</f>
        <v>#REF!</v>
      </c>
      <c r="E29" s="76" t="e">
        <f t="shared" ref="E29:J29" si="8">GESTEP(E27,E23)</f>
        <v>#REF!</v>
      </c>
      <c r="F29" s="76" t="e">
        <f t="shared" si="8"/>
        <v>#REF!</v>
      </c>
      <c r="G29" s="76" t="e">
        <f t="shared" si="8"/>
        <v>#REF!</v>
      </c>
      <c r="H29" s="76" t="e">
        <f t="shared" si="8"/>
        <v>#REF!</v>
      </c>
      <c r="I29" s="76" t="e">
        <f t="shared" si="8"/>
        <v>#REF!</v>
      </c>
      <c r="J29" s="76" t="e">
        <f t="shared" si="8"/>
        <v>#REF!</v>
      </c>
    </row>
    <row r="33" spans="9:9" x14ac:dyDescent="0.2">
      <c r="I33" s="25"/>
    </row>
  </sheetData>
  <mergeCells count="8">
    <mergeCell ref="A26:B26"/>
    <mergeCell ref="A22:C23"/>
    <mergeCell ref="A17:B17"/>
    <mergeCell ref="A1:B1"/>
    <mergeCell ref="A2:A9"/>
    <mergeCell ref="A10:B10"/>
    <mergeCell ref="A11:A15"/>
    <mergeCell ref="A16:B16"/>
  </mergeCells>
  <pageMargins left="0.7" right="0.7" top="0.75" bottom="0.75" header="0.3" footer="0.3"/>
  <pageSetup paperSize="41" orientation="portrait" r:id="rId1"/>
  <ignoredErrors>
    <ignoredError sqref="F26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26"/>
  <sheetViews>
    <sheetView showGridLines="0" workbookViewId="0">
      <selection activeCell="A32" sqref="A32"/>
    </sheetView>
  </sheetViews>
  <sheetFormatPr baseColWidth="10" defaultRowHeight="12.75" x14ac:dyDescent="0.2"/>
  <cols>
    <col min="1" max="1" width="43.85546875" customWidth="1"/>
    <col min="2" max="2" width="69.85546875" customWidth="1"/>
    <col min="3" max="3" width="58.28515625" customWidth="1"/>
  </cols>
  <sheetData>
    <row r="1" spans="1:3" ht="15.75" x14ac:dyDescent="0.2">
      <c r="A1" s="167" t="s">
        <v>19</v>
      </c>
      <c r="B1" s="168"/>
      <c r="C1" s="169"/>
    </row>
    <row r="2" spans="1:3" ht="15.75" x14ac:dyDescent="0.2">
      <c r="A2" s="87" t="s">
        <v>239</v>
      </c>
      <c r="B2" s="87"/>
      <c r="C2" s="87" t="s">
        <v>132</v>
      </c>
    </row>
    <row r="3" spans="1:3" ht="15.75" x14ac:dyDescent="0.2">
      <c r="A3" s="89" t="s">
        <v>237</v>
      </c>
      <c r="B3" s="88"/>
      <c r="C3" s="88" t="s">
        <v>133</v>
      </c>
    </row>
    <row r="4" spans="1:3" ht="15.75" x14ac:dyDescent="0.2">
      <c r="A4" s="165" t="s">
        <v>146</v>
      </c>
      <c r="B4" s="166"/>
      <c r="C4" s="90"/>
    </row>
    <row r="5" spans="1:3" ht="15.75" x14ac:dyDescent="0.2">
      <c r="A5" s="86"/>
      <c r="B5" s="90" t="s">
        <v>134</v>
      </c>
      <c r="C5" s="90" t="s">
        <v>143</v>
      </c>
    </row>
    <row r="6" spans="1:3" ht="15.75" x14ac:dyDescent="0.2">
      <c r="A6" s="86"/>
      <c r="B6" s="90" t="s">
        <v>97</v>
      </c>
      <c r="C6" s="90" t="s">
        <v>144</v>
      </c>
    </row>
    <row r="7" spans="1:3" ht="15.75" x14ac:dyDescent="0.2">
      <c r="A7" s="86"/>
      <c r="B7" s="90" t="s">
        <v>101</v>
      </c>
      <c r="C7" s="90" t="s">
        <v>145</v>
      </c>
    </row>
    <row r="8" spans="1:3" ht="15.75" x14ac:dyDescent="0.2">
      <c r="A8" s="86"/>
      <c r="B8" s="90" t="s">
        <v>111</v>
      </c>
      <c r="C8" s="90" t="s">
        <v>145</v>
      </c>
    </row>
    <row r="9" spans="1:3" ht="15.75" x14ac:dyDescent="0.2">
      <c r="A9" s="86"/>
      <c r="B9" s="90" t="s">
        <v>135</v>
      </c>
      <c r="C9" s="90" t="s">
        <v>145</v>
      </c>
    </row>
    <row r="10" spans="1:3" ht="15.75" x14ac:dyDescent="0.2">
      <c r="A10" s="86"/>
      <c r="B10" s="90" t="s">
        <v>136</v>
      </c>
      <c r="C10" s="90" t="s">
        <v>145</v>
      </c>
    </row>
    <row r="11" spans="1:3" ht="31.5" x14ac:dyDescent="0.2">
      <c r="A11" s="86"/>
      <c r="B11" s="90" t="s">
        <v>137</v>
      </c>
      <c r="C11" s="90" t="s">
        <v>145</v>
      </c>
    </row>
    <row r="12" spans="1:3" ht="15.75" x14ac:dyDescent="0.2">
      <c r="A12" s="86"/>
      <c r="B12" s="90" t="s">
        <v>138</v>
      </c>
      <c r="C12" s="90" t="s">
        <v>145</v>
      </c>
    </row>
    <row r="13" spans="1:3" ht="15.75" x14ac:dyDescent="0.2">
      <c r="A13" s="86"/>
      <c r="B13" s="90" t="s">
        <v>118</v>
      </c>
      <c r="C13" s="90" t="s">
        <v>145</v>
      </c>
    </row>
    <row r="14" spans="1:3" ht="15.75" x14ac:dyDescent="0.2">
      <c r="A14" s="86"/>
      <c r="B14" s="90" t="s">
        <v>139</v>
      </c>
      <c r="C14" s="90" t="s">
        <v>145</v>
      </c>
    </row>
    <row r="15" spans="1:3" ht="15.75" x14ac:dyDescent="0.2">
      <c r="A15" s="86"/>
      <c r="B15" s="90" t="s">
        <v>106</v>
      </c>
      <c r="C15" s="90" t="s">
        <v>145</v>
      </c>
    </row>
    <row r="16" spans="1:3" ht="15.75" x14ac:dyDescent="0.2">
      <c r="A16" s="86"/>
      <c r="B16" s="90" t="s">
        <v>140</v>
      </c>
      <c r="C16" s="90" t="s">
        <v>145</v>
      </c>
    </row>
    <row r="17" spans="1:3" ht="15.75" x14ac:dyDescent="0.2">
      <c r="A17" s="86"/>
      <c r="B17" s="90" t="s">
        <v>141</v>
      </c>
      <c r="C17" s="90" t="s">
        <v>145</v>
      </c>
    </row>
    <row r="18" spans="1:3" ht="15.75" x14ac:dyDescent="0.2">
      <c r="A18" s="86"/>
      <c r="B18" s="90" t="s">
        <v>142</v>
      </c>
      <c r="C18" s="90" t="s">
        <v>145</v>
      </c>
    </row>
    <row r="19" spans="1:3" ht="15.75" x14ac:dyDescent="0.2">
      <c r="A19" s="91" t="s">
        <v>125</v>
      </c>
      <c r="B19" s="90"/>
      <c r="C19" s="90" t="s">
        <v>129</v>
      </c>
    </row>
    <row r="20" spans="1:3" ht="15.75" x14ac:dyDescent="0.2">
      <c r="A20" s="89" t="s">
        <v>126</v>
      </c>
      <c r="B20" s="88"/>
      <c r="C20" s="88" t="s">
        <v>130</v>
      </c>
    </row>
    <row r="21" spans="1:3" ht="15.75" x14ac:dyDescent="0.2">
      <c r="A21" s="91" t="s">
        <v>238</v>
      </c>
      <c r="B21" s="90"/>
      <c r="C21" s="90" t="s">
        <v>131</v>
      </c>
    </row>
    <row r="22" spans="1:3" ht="31.5" x14ac:dyDescent="0.2">
      <c r="A22" s="89" t="s">
        <v>234</v>
      </c>
      <c r="B22" s="88"/>
      <c r="C22" s="88" t="s">
        <v>235</v>
      </c>
    </row>
    <row r="23" spans="1:3" ht="15.75" x14ac:dyDescent="0.2">
      <c r="A23" s="167" t="s">
        <v>14</v>
      </c>
      <c r="B23" s="168"/>
      <c r="C23" s="169"/>
    </row>
    <row r="24" spans="1:3" ht="15.75" x14ac:dyDescent="0.2">
      <c r="A24" s="21" t="s">
        <v>127</v>
      </c>
      <c r="C24" s="20" t="s">
        <v>128</v>
      </c>
    </row>
    <row r="25" spans="1:3" ht="15.75" x14ac:dyDescent="0.2">
      <c r="A25" s="21" t="s">
        <v>123</v>
      </c>
      <c r="C25" s="20" t="s">
        <v>236</v>
      </c>
    </row>
    <row r="26" spans="1:3" ht="15.75" x14ac:dyDescent="0.2">
      <c r="A26" s="91" t="s">
        <v>124</v>
      </c>
      <c r="B26" s="88"/>
      <c r="C26" s="90" t="s">
        <v>131</v>
      </c>
    </row>
  </sheetData>
  <mergeCells count="3">
    <mergeCell ref="A4:B4"/>
    <mergeCell ref="A23:C23"/>
    <mergeCell ref="A1:C1"/>
  </mergeCells>
  <pageMargins left="0.7" right="0.7" top="0.75" bottom="0.75" header="0.3" footer="0.3"/>
  <pageSetup paperSiz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91003-FBD7-4563-B897-DA22FB4C45FE}">
  <sheetPr>
    <pageSetUpPr fitToPage="1"/>
  </sheetPr>
  <dimension ref="B1:AQ93"/>
  <sheetViews>
    <sheetView showGridLines="0" showZeros="0" zoomScale="90" zoomScaleNormal="90" workbookViewId="0">
      <pane xSplit="3" ySplit="8" topLeftCell="D36" activePane="bottomRight" state="frozen"/>
      <selection pane="topRight" activeCell="D1" sqref="D1"/>
      <selection pane="bottomLeft" activeCell="A9" sqref="A9"/>
      <selection pane="bottomRight" activeCell="B36" sqref="B36"/>
    </sheetView>
  </sheetViews>
  <sheetFormatPr baseColWidth="10" defaultColWidth="10.42578125" defaultRowHeight="11.25" x14ac:dyDescent="0.2"/>
  <cols>
    <col min="1" max="1" width="4.42578125" style="2" customWidth="1"/>
    <col min="2" max="2" width="10.140625" style="17" customWidth="1"/>
    <col min="3" max="3" width="81.85546875" style="2" customWidth="1"/>
    <col min="4" max="6" width="8.85546875" style="2" customWidth="1"/>
    <col min="7" max="7" width="13.28515625" style="2" customWidth="1"/>
    <col min="8" max="8" width="10.42578125" style="2" customWidth="1"/>
    <col min="9" max="9" width="10.85546875" style="2" customWidth="1"/>
    <col min="10" max="10" width="11.7109375" style="2" customWidth="1"/>
    <col min="11" max="11" width="12" style="2" customWidth="1"/>
    <col min="12" max="12" width="11.7109375" style="2" customWidth="1"/>
    <col min="13" max="13" width="13.85546875" style="2" customWidth="1"/>
    <col min="14" max="14" width="12.28515625" style="2" customWidth="1"/>
    <col min="15" max="15" width="11.5703125" style="2" customWidth="1"/>
    <col min="16" max="16" width="8.5703125" style="2" customWidth="1"/>
    <col min="17" max="17" width="12.5703125" style="2" customWidth="1"/>
    <col min="18" max="18" width="10.85546875" style="2" customWidth="1"/>
    <col min="19" max="19" width="11.85546875" style="2" customWidth="1"/>
    <col min="20" max="25" width="10.42578125" style="2" customWidth="1"/>
    <col min="26" max="27" width="12" style="2" customWidth="1"/>
    <col min="28" max="29" width="10.42578125" style="2" customWidth="1"/>
    <col min="30" max="35" width="11.85546875" style="2" customWidth="1"/>
    <col min="36" max="36" width="13.85546875" style="2" customWidth="1"/>
    <col min="37" max="40" width="11.85546875" style="2" customWidth="1"/>
    <col min="41" max="41" width="12.5703125" style="2" customWidth="1"/>
    <col min="42" max="43" width="11.85546875" style="2" customWidth="1"/>
    <col min="44" max="16384" width="10.42578125" style="2"/>
  </cols>
  <sheetData>
    <row r="1" spans="2:43" x14ac:dyDescent="0.2">
      <c r="C1" s="1" t="s">
        <v>0</v>
      </c>
      <c r="D1" s="1"/>
      <c r="E1" s="1"/>
      <c r="F1" s="1"/>
    </row>
    <row r="2" spans="2:43" x14ac:dyDescent="0.2">
      <c r="B2" s="3" t="s">
        <v>259</v>
      </c>
    </row>
    <row r="3" spans="2:43" x14ac:dyDescent="0.2">
      <c r="B3" s="3" t="s">
        <v>322</v>
      </c>
      <c r="R3" s="122"/>
    </row>
    <row r="4" spans="2:43" x14ac:dyDescent="0.2">
      <c r="B4" s="3" t="s">
        <v>337</v>
      </c>
    </row>
    <row r="5" spans="2:43" x14ac:dyDescent="0.2">
      <c r="B5" s="3" t="s">
        <v>3</v>
      </c>
      <c r="G5" s="122"/>
    </row>
    <row r="6" spans="2:43" s="110" customFormat="1" ht="15" x14ac:dyDescent="0.25">
      <c r="B6" s="139" t="s">
        <v>260</v>
      </c>
      <c r="C6" s="145" t="s">
        <v>121</v>
      </c>
      <c r="D6" s="142">
        <v>2018</v>
      </c>
      <c r="E6" s="143"/>
      <c r="F6" s="144"/>
      <c r="G6" s="137" t="s">
        <v>284</v>
      </c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40" t="s">
        <v>288</v>
      </c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35" t="s">
        <v>313</v>
      </c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</row>
    <row r="7" spans="2:43" s="111" customFormat="1" ht="15.75" x14ac:dyDescent="0.2">
      <c r="B7" s="139"/>
      <c r="C7" s="145"/>
      <c r="D7" s="132"/>
      <c r="E7" s="132"/>
      <c r="F7" s="132"/>
      <c r="G7" s="138" t="s">
        <v>19</v>
      </c>
      <c r="H7" s="138"/>
      <c r="I7" s="138"/>
      <c r="J7" s="138"/>
      <c r="K7" s="138"/>
      <c r="L7" s="138" t="s">
        <v>25</v>
      </c>
      <c r="M7" s="138"/>
      <c r="N7" s="138"/>
      <c r="O7" s="138"/>
      <c r="P7" s="138"/>
      <c r="Q7" s="138"/>
      <c r="R7" s="141" t="s">
        <v>19</v>
      </c>
      <c r="S7" s="141"/>
      <c r="T7" s="141"/>
      <c r="U7" s="141"/>
      <c r="V7" s="141"/>
      <c r="W7" s="141"/>
      <c r="X7" s="141" t="s">
        <v>25</v>
      </c>
      <c r="Y7" s="141"/>
      <c r="Z7" s="141"/>
      <c r="AA7" s="141"/>
      <c r="AB7" s="141"/>
      <c r="AC7" s="141"/>
      <c r="AD7" s="136" t="s">
        <v>19</v>
      </c>
      <c r="AE7" s="136"/>
      <c r="AF7" s="136"/>
      <c r="AG7" s="136"/>
      <c r="AH7" s="136"/>
      <c r="AI7" s="136"/>
      <c r="AJ7" s="136"/>
      <c r="AK7" s="136"/>
      <c r="AL7" s="136" t="s">
        <v>25</v>
      </c>
      <c r="AM7" s="136"/>
      <c r="AN7" s="136"/>
      <c r="AO7" s="136"/>
      <c r="AP7" s="136"/>
      <c r="AQ7" s="136"/>
    </row>
    <row r="8" spans="2:43" s="111" customFormat="1" ht="81.75" customHeight="1" x14ac:dyDescent="0.2">
      <c r="B8" s="139"/>
      <c r="C8" s="145"/>
      <c r="D8" s="117" t="s">
        <v>38</v>
      </c>
      <c r="E8" s="117" t="s">
        <v>41</v>
      </c>
      <c r="F8" s="117" t="s">
        <v>258</v>
      </c>
      <c r="G8" s="116" t="s">
        <v>323</v>
      </c>
      <c r="H8" s="116" t="s">
        <v>293</v>
      </c>
      <c r="I8" s="116" t="s">
        <v>294</v>
      </c>
      <c r="J8" s="116" t="s">
        <v>324</v>
      </c>
      <c r="K8" s="116" t="s">
        <v>38</v>
      </c>
      <c r="L8" s="116" t="s">
        <v>325</v>
      </c>
      <c r="M8" s="116" t="s">
        <v>297</v>
      </c>
      <c r="N8" s="116" t="s">
        <v>298</v>
      </c>
      <c r="O8" s="116" t="s">
        <v>299</v>
      </c>
      <c r="P8" s="116" t="s">
        <v>41</v>
      </c>
      <c r="Q8" s="116" t="s">
        <v>300</v>
      </c>
      <c r="R8" s="118" t="s">
        <v>326</v>
      </c>
      <c r="S8" s="118" t="s">
        <v>327</v>
      </c>
      <c r="T8" s="118" t="s">
        <v>306</v>
      </c>
      <c r="U8" s="118" t="s">
        <v>307</v>
      </c>
      <c r="V8" s="118" t="s">
        <v>328</v>
      </c>
      <c r="W8" s="118" t="s">
        <v>38</v>
      </c>
      <c r="X8" s="118" t="s">
        <v>325</v>
      </c>
      <c r="Y8" s="118" t="s">
        <v>310</v>
      </c>
      <c r="Z8" s="118" t="s">
        <v>329</v>
      </c>
      <c r="AA8" s="118" t="s">
        <v>311</v>
      </c>
      <c r="AB8" s="118" t="s">
        <v>41</v>
      </c>
      <c r="AC8" s="118" t="s">
        <v>312</v>
      </c>
      <c r="AD8" s="120" t="s">
        <v>330</v>
      </c>
      <c r="AE8" s="120" t="s">
        <v>331</v>
      </c>
      <c r="AF8" s="120" t="s">
        <v>332</v>
      </c>
      <c r="AG8" s="120" t="s">
        <v>318</v>
      </c>
      <c r="AH8" s="120" t="s">
        <v>319</v>
      </c>
      <c r="AI8" s="120" t="s">
        <v>333</v>
      </c>
      <c r="AJ8" s="120" t="s">
        <v>335</v>
      </c>
      <c r="AK8" s="120" t="s">
        <v>38</v>
      </c>
      <c r="AL8" s="120" t="s">
        <v>325</v>
      </c>
      <c r="AM8" s="120" t="s">
        <v>310</v>
      </c>
      <c r="AN8" s="120" t="s">
        <v>329</v>
      </c>
      <c r="AO8" s="120" t="s">
        <v>311</v>
      </c>
      <c r="AP8" s="120" t="s">
        <v>41</v>
      </c>
      <c r="AQ8" s="120" t="s">
        <v>321</v>
      </c>
    </row>
    <row r="9" spans="2:43" x14ac:dyDescent="0.2">
      <c r="B9" s="18">
        <v>2110</v>
      </c>
      <c r="C9" s="127" t="s">
        <v>101</v>
      </c>
      <c r="D9" s="133">
        <v>4616.1597279999996</v>
      </c>
      <c r="E9" s="133">
        <v>0</v>
      </c>
      <c r="F9" s="133">
        <v>4616.1597279999996</v>
      </c>
      <c r="G9" s="128">
        <v>4762.9536075200003</v>
      </c>
      <c r="H9" s="128">
        <v>161.56559048000003</v>
      </c>
      <c r="I9" s="128">
        <v>450.03865925291711</v>
      </c>
      <c r="J9" s="128">
        <v>0</v>
      </c>
      <c r="K9" s="128">
        <f>+SUM(G9:J9)</f>
        <v>5374.5578572529175</v>
      </c>
      <c r="L9" s="128"/>
      <c r="M9" s="128">
        <v>1015.0942958663209</v>
      </c>
      <c r="N9" s="128">
        <v>3553.364857</v>
      </c>
      <c r="O9" s="128">
        <v>0</v>
      </c>
      <c r="P9" s="128">
        <f>+SUM(L9:O9)</f>
        <v>4568.4591528663204</v>
      </c>
      <c r="Q9" s="128">
        <f>+P9+K9</f>
        <v>9943.017010119238</v>
      </c>
      <c r="R9" s="128">
        <v>4943.9458450817601</v>
      </c>
      <c r="S9" s="128">
        <v>167.70508291824004</v>
      </c>
      <c r="T9" s="128">
        <v>196.98076800000001</v>
      </c>
      <c r="U9" s="128">
        <v>695.24539600000003</v>
      </c>
      <c r="V9" s="128"/>
      <c r="W9" s="128">
        <f>+SUM(R9:V9)</f>
        <v>6003.8770920000006</v>
      </c>
      <c r="X9" s="128"/>
      <c r="Y9" s="128">
        <v>1872.187635</v>
      </c>
      <c r="Z9" s="128">
        <v>1568.3244259999999</v>
      </c>
      <c r="AA9" s="128">
        <v>0</v>
      </c>
      <c r="AB9" s="128">
        <f>+SUM(X9:AA9)</f>
        <v>3440.5120609999999</v>
      </c>
      <c r="AC9" s="128">
        <f>+AB9+W9</f>
        <v>9444.3891530000001</v>
      </c>
      <c r="AD9" s="128">
        <v>5023.5433728819762</v>
      </c>
      <c r="AE9" s="128">
        <v>170.40513475322371</v>
      </c>
      <c r="AF9" s="128">
        <v>200.15215836480002</v>
      </c>
      <c r="AG9" s="128">
        <v>238.88842600000001</v>
      </c>
      <c r="AH9" s="129">
        <v>375.43806899999998</v>
      </c>
      <c r="AI9" s="128"/>
      <c r="AJ9" s="128">
        <v>336.47419500000001</v>
      </c>
      <c r="AK9" s="128">
        <f>+SUM(AD9:AJ9)</f>
        <v>6344.9013560000003</v>
      </c>
      <c r="AL9" s="128"/>
      <c r="AM9" s="128">
        <v>2327.6520169999999</v>
      </c>
      <c r="AN9" s="128">
        <v>894.11234999999999</v>
      </c>
      <c r="AO9" s="128">
        <v>0</v>
      </c>
      <c r="AP9" s="128">
        <f>+SUM(AL9:AO9)</f>
        <v>3221.7643669999998</v>
      </c>
      <c r="AQ9" s="128">
        <f>+AP9+AK9</f>
        <v>9566.6657230000001</v>
      </c>
    </row>
    <row r="10" spans="2:43" x14ac:dyDescent="0.2">
      <c r="B10" s="18">
        <v>2114</v>
      </c>
      <c r="C10" s="127" t="s">
        <v>94</v>
      </c>
      <c r="D10" s="133">
        <v>0</v>
      </c>
      <c r="E10" s="133">
        <v>0</v>
      </c>
      <c r="F10" s="133">
        <v>0</v>
      </c>
      <c r="G10" s="128">
        <v>0</v>
      </c>
      <c r="H10" s="128"/>
      <c r="I10" s="128">
        <v>377.97324261949291</v>
      </c>
      <c r="J10" s="128">
        <v>1094.193796</v>
      </c>
      <c r="K10" s="128">
        <f t="shared" ref="K10:K37" si="0">+SUM(G10:J10)</f>
        <v>1472.1670386194928</v>
      </c>
      <c r="L10" s="128"/>
      <c r="M10" s="128">
        <v>906.80788093441379</v>
      </c>
      <c r="N10" s="128">
        <v>1126.1211499999999</v>
      </c>
      <c r="O10" s="128">
        <v>0</v>
      </c>
      <c r="P10" s="128">
        <f t="shared" ref="P10:P38" si="1">+SUM(L10:O10)</f>
        <v>2032.9290309344137</v>
      </c>
      <c r="Q10" s="128">
        <f t="shared" ref="Q10:Q38" si="2">+P10+K10</f>
        <v>3505.0960695539065</v>
      </c>
      <c r="R10" s="128">
        <v>0</v>
      </c>
      <c r="S10" s="128">
        <v>0</v>
      </c>
      <c r="T10" s="128"/>
      <c r="U10" s="128">
        <v>573.92947300000003</v>
      </c>
      <c r="V10" s="128">
        <v>1179.5409119999999</v>
      </c>
      <c r="W10" s="128">
        <f t="shared" ref="W10:W37" si="3">+SUM(R10:V10)</f>
        <v>1753.4703850000001</v>
      </c>
      <c r="X10" s="128"/>
      <c r="Y10" s="128">
        <v>1499.2411400000001</v>
      </c>
      <c r="Z10" s="128">
        <v>725.02960099999996</v>
      </c>
      <c r="AA10" s="128">
        <v>0</v>
      </c>
      <c r="AB10" s="128">
        <f t="shared" ref="AB10:AB38" si="4">+SUM(X10:AA10)</f>
        <v>2224.2707410000003</v>
      </c>
      <c r="AC10" s="128">
        <f t="shared" ref="AC10:AC38" si="5">+AB10+W10</f>
        <v>3977.7411260000003</v>
      </c>
      <c r="AD10" s="128">
        <v>0</v>
      </c>
      <c r="AE10" s="128">
        <v>0</v>
      </c>
      <c r="AF10" s="128">
        <v>0</v>
      </c>
      <c r="AG10" s="128"/>
      <c r="AH10" s="129">
        <v>296.05134600000002</v>
      </c>
      <c r="AI10" s="128">
        <v>1454.643781</v>
      </c>
      <c r="AJ10" s="128">
        <v>760.58345199999997</v>
      </c>
      <c r="AK10" s="128">
        <f t="shared" ref="AK10:AK38" si="6">+SUM(AD10:AJ10)</f>
        <v>2511.2785789999998</v>
      </c>
      <c r="AL10" s="128"/>
      <c r="AM10" s="128">
        <v>1838.34519</v>
      </c>
      <c r="AN10" s="128">
        <v>521.15193099999999</v>
      </c>
      <c r="AO10" s="128">
        <v>0</v>
      </c>
      <c r="AP10" s="128">
        <f t="shared" ref="AP10:AP38" si="7">+SUM(AL10:AO10)</f>
        <v>2359.4971209999999</v>
      </c>
      <c r="AQ10" s="128">
        <f t="shared" ref="AQ10:AQ38" si="8">+AP10+AK10</f>
        <v>4870.7757000000001</v>
      </c>
    </row>
    <row r="11" spans="2:43" x14ac:dyDescent="0.2">
      <c r="B11" s="18">
        <v>2206</v>
      </c>
      <c r="C11" s="127" t="s">
        <v>103</v>
      </c>
      <c r="D11" s="133">
        <v>0</v>
      </c>
      <c r="E11" s="133">
        <v>0</v>
      </c>
      <c r="F11" s="133">
        <v>0</v>
      </c>
      <c r="G11" s="128">
        <v>0</v>
      </c>
      <c r="H11" s="128"/>
      <c r="I11" s="128">
        <v>318.5818254294316</v>
      </c>
      <c r="J11" s="128">
        <v>1267.829109</v>
      </c>
      <c r="K11" s="128">
        <f t="shared" si="0"/>
        <v>1586.4109344294316</v>
      </c>
      <c r="L11" s="128"/>
      <c r="M11" s="128">
        <v>975.29756075768375</v>
      </c>
      <c r="N11" s="128">
        <v>1384.555599</v>
      </c>
      <c r="O11" s="128">
        <v>490.69734899999997</v>
      </c>
      <c r="P11" s="128">
        <f t="shared" si="1"/>
        <v>2850.5505087576839</v>
      </c>
      <c r="Q11" s="128">
        <f t="shared" si="2"/>
        <v>4436.9614431871159</v>
      </c>
      <c r="R11" s="128">
        <v>0</v>
      </c>
      <c r="S11" s="128">
        <v>0</v>
      </c>
      <c r="T11" s="128"/>
      <c r="U11" s="128">
        <v>619.98089400000003</v>
      </c>
      <c r="V11" s="128">
        <v>1366.7197799999999</v>
      </c>
      <c r="W11" s="128">
        <f t="shared" si="3"/>
        <v>1986.7006739999999</v>
      </c>
      <c r="X11" s="128"/>
      <c r="Y11" s="128">
        <v>1887.3390669999999</v>
      </c>
      <c r="Z11" s="128">
        <v>1210.9560839999999</v>
      </c>
      <c r="AA11" s="128">
        <v>0</v>
      </c>
      <c r="AB11" s="128">
        <f t="shared" si="4"/>
        <v>3098.2951509999998</v>
      </c>
      <c r="AC11" s="128">
        <f t="shared" si="5"/>
        <v>5084.995825</v>
      </c>
      <c r="AD11" s="128">
        <v>0</v>
      </c>
      <c r="AE11" s="128">
        <v>0</v>
      </c>
      <c r="AF11" s="128">
        <v>0</v>
      </c>
      <c r="AG11" s="128"/>
      <c r="AH11" s="129">
        <v>290.29281900000001</v>
      </c>
      <c r="AI11" s="128">
        <v>1341.732393</v>
      </c>
      <c r="AJ11" s="128">
        <v>77.567921999999996</v>
      </c>
      <c r="AK11" s="128">
        <f t="shared" si="6"/>
        <v>1709.593134</v>
      </c>
      <c r="AL11" s="128"/>
      <c r="AM11" s="128">
        <v>2080.3581340000001</v>
      </c>
      <c r="AN11" s="128">
        <v>772.95841399999995</v>
      </c>
      <c r="AO11" s="128">
        <v>0</v>
      </c>
      <c r="AP11" s="128">
        <f t="shared" si="7"/>
        <v>2853.3165479999998</v>
      </c>
      <c r="AQ11" s="128">
        <f t="shared" si="8"/>
        <v>4562.9096819999995</v>
      </c>
    </row>
    <row r="12" spans="2:43" x14ac:dyDescent="0.2">
      <c r="B12" s="18">
        <v>2207</v>
      </c>
      <c r="C12" s="130" t="s">
        <v>102</v>
      </c>
      <c r="D12" s="133">
        <v>0</v>
      </c>
      <c r="E12" s="133">
        <v>0</v>
      </c>
      <c r="F12" s="133">
        <v>0</v>
      </c>
      <c r="G12" s="128">
        <v>0</v>
      </c>
      <c r="H12" s="128"/>
      <c r="I12" s="128">
        <v>318.18548842565741</v>
      </c>
      <c r="J12" s="128">
        <v>1319.1478360000001</v>
      </c>
      <c r="K12" s="128">
        <f t="shared" si="0"/>
        <v>1637.3333244256576</v>
      </c>
      <c r="L12" s="128"/>
      <c r="M12" s="128">
        <v>748.24341170220282</v>
      </c>
      <c r="N12" s="128">
        <v>2748.1877500000001</v>
      </c>
      <c r="O12" s="128">
        <v>0</v>
      </c>
      <c r="P12" s="128">
        <f t="shared" si="1"/>
        <v>3496.4311617022031</v>
      </c>
      <c r="Q12" s="128">
        <f t="shared" si="2"/>
        <v>5133.7644861278604</v>
      </c>
      <c r="R12" s="128">
        <v>0</v>
      </c>
      <c r="S12" s="128">
        <v>0</v>
      </c>
      <c r="T12" s="128"/>
      <c r="U12" s="128">
        <v>731.02212999999995</v>
      </c>
      <c r="V12" s="128">
        <v>1422.0413669999998</v>
      </c>
      <c r="W12" s="128">
        <f t="shared" si="3"/>
        <v>2153.0634969999996</v>
      </c>
      <c r="X12" s="128"/>
      <c r="Y12" s="128">
        <v>1893.566118</v>
      </c>
      <c r="Z12" s="128">
        <v>1576.4167849999999</v>
      </c>
      <c r="AA12" s="128">
        <v>0</v>
      </c>
      <c r="AB12" s="128">
        <f t="shared" si="4"/>
        <v>3469.9829030000001</v>
      </c>
      <c r="AC12" s="128">
        <f t="shared" si="5"/>
        <v>5623.0463999999993</v>
      </c>
      <c r="AD12" s="128">
        <v>0</v>
      </c>
      <c r="AE12" s="128">
        <v>0</v>
      </c>
      <c r="AF12" s="128">
        <v>0</v>
      </c>
      <c r="AG12" s="128"/>
      <c r="AH12" s="129">
        <v>329.23512899999997</v>
      </c>
      <c r="AI12" s="128">
        <v>1443.8132989999999</v>
      </c>
      <c r="AJ12" s="128">
        <v>236.179023</v>
      </c>
      <c r="AK12" s="128">
        <f t="shared" si="6"/>
        <v>2009.2274509999997</v>
      </c>
      <c r="AL12" s="128"/>
      <c r="AM12" s="128">
        <v>2177.8569699999998</v>
      </c>
      <c r="AN12" s="128">
        <v>1019.237654</v>
      </c>
      <c r="AO12" s="128">
        <v>0</v>
      </c>
      <c r="AP12" s="128">
        <f t="shared" si="7"/>
        <v>3197.0946239999998</v>
      </c>
      <c r="AQ12" s="128">
        <f t="shared" si="8"/>
        <v>5206.322075</v>
      </c>
    </row>
    <row r="13" spans="2:43" x14ac:dyDescent="0.2">
      <c r="B13" s="18">
        <v>2208</v>
      </c>
      <c r="C13" s="127" t="s">
        <v>97</v>
      </c>
      <c r="D13" s="133">
        <v>1747.1093169999999</v>
      </c>
      <c r="E13" s="133">
        <v>0</v>
      </c>
      <c r="F13" s="133">
        <v>1747.1093169999999</v>
      </c>
      <c r="G13" s="128">
        <v>1921.820248905</v>
      </c>
      <c r="H13" s="128">
        <v>61.148826095000004</v>
      </c>
      <c r="I13" s="128">
        <v>396.07694144747217</v>
      </c>
      <c r="J13" s="128">
        <v>0</v>
      </c>
      <c r="K13" s="128">
        <f t="shared" si="0"/>
        <v>2379.0460164474721</v>
      </c>
      <c r="L13" s="128"/>
      <c r="M13" s="128">
        <v>886.78191676845768</v>
      </c>
      <c r="N13" s="128">
        <v>237.57633999999999</v>
      </c>
      <c r="O13" s="128">
        <v>1154.9737150000001</v>
      </c>
      <c r="P13" s="128">
        <f t="shared" si="1"/>
        <v>2279.3319717684581</v>
      </c>
      <c r="Q13" s="128">
        <f t="shared" si="2"/>
        <v>4658.3779882159306</v>
      </c>
      <c r="R13" s="128">
        <v>2117.7935015133894</v>
      </c>
      <c r="S13" s="128">
        <v>63.472481486610008</v>
      </c>
      <c r="T13" s="128">
        <v>79.318763000000004</v>
      </c>
      <c r="U13" s="128">
        <v>589.40266799999995</v>
      </c>
      <c r="V13" s="128"/>
      <c r="W13" s="128">
        <f t="shared" si="3"/>
        <v>2849.9874139999993</v>
      </c>
      <c r="X13" s="128"/>
      <c r="Y13" s="128">
        <v>1778.1703600000001</v>
      </c>
      <c r="Z13" s="128">
        <v>374.63993499999998</v>
      </c>
      <c r="AA13" s="128">
        <v>487.45277800000002</v>
      </c>
      <c r="AB13" s="128">
        <f t="shared" si="4"/>
        <v>2640.2630730000001</v>
      </c>
      <c r="AC13" s="128">
        <f t="shared" si="5"/>
        <v>5490.2504869999993</v>
      </c>
      <c r="AD13" s="128">
        <v>2341.5530374771556</v>
      </c>
      <c r="AE13" s="128">
        <v>64.494388438544433</v>
      </c>
      <c r="AF13" s="128">
        <v>80.595795084300008</v>
      </c>
      <c r="AG13" s="128">
        <v>101.726313</v>
      </c>
      <c r="AH13" s="129">
        <v>302.74632500000001</v>
      </c>
      <c r="AI13" s="128"/>
      <c r="AJ13" s="128">
        <v>34.268822</v>
      </c>
      <c r="AK13" s="128">
        <f t="shared" si="6"/>
        <v>2925.384681</v>
      </c>
      <c r="AL13" s="128"/>
      <c r="AM13" s="128">
        <v>2042.3083799999999</v>
      </c>
      <c r="AN13" s="128">
        <v>587.34590300000002</v>
      </c>
      <c r="AO13" s="128">
        <v>117.900959</v>
      </c>
      <c r="AP13" s="128">
        <f t="shared" si="7"/>
        <v>2747.5552419999999</v>
      </c>
      <c r="AQ13" s="128">
        <f t="shared" si="8"/>
        <v>5672.9399229999999</v>
      </c>
    </row>
    <row r="14" spans="2:43" x14ac:dyDescent="0.2">
      <c r="B14" s="18">
        <v>2209</v>
      </c>
      <c r="C14" s="127" t="s">
        <v>110</v>
      </c>
      <c r="D14" s="133">
        <v>0</v>
      </c>
      <c r="E14" s="133">
        <v>0</v>
      </c>
      <c r="F14" s="133">
        <v>0</v>
      </c>
      <c r="G14" s="128">
        <v>0</v>
      </c>
      <c r="H14" s="128"/>
      <c r="I14" s="128">
        <v>479.79955306508003</v>
      </c>
      <c r="J14" s="128">
        <v>1845.0503249999999</v>
      </c>
      <c r="K14" s="128">
        <f t="shared" si="0"/>
        <v>2324.8498780650798</v>
      </c>
      <c r="L14" s="128"/>
      <c r="M14" s="128">
        <v>1024.8604253918973</v>
      </c>
      <c r="N14" s="128">
        <v>5160.0599519999996</v>
      </c>
      <c r="O14" s="128">
        <v>0</v>
      </c>
      <c r="P14" s="128">
        <f t="shared" si="1"/>
        <v>6184.9203773918971</v>
      </c>
      <c r="Q14" s="128">
        <f t="shared" si="2"/>
        <v>8509.7702554569769</v>
      </c>
      <c r="R14" s="128">
        <v>0</v>
      </c>
      <c r="S14" s="128">
        <v>0</v>
      </c>
      <c r="T14" s="128"/>
      <c r="U14" s="128">
        <v>841.49810200000002</v>
      </c>
      <c r="V14" s="128">
        <v>1988.96425</v>
      </c>
      <c r="W14" s="128">
        <f t="shared" si="3"/>
        <v>2830.462352</v>
      </c>
      <c r="X14" s="128"/>
      <c r="Y14" s="128">
        <v>2305.9979239999998</v>
      </c>
      <c r="Z14" s="128">
        <v>2114.7869030000002</v>
      </c>
      <c r="AA14" s="128">
        <v>0</v>
      </c>
      <c r="AB14" s="128">
        <f t="shared" si="4"/>
        <v>4420.7848269999995</v>
      </c>
      <c r="AC14" s="128">
        <f t="shared" si="5"/>
        <v>7251.247179</v>
      </c>
      <c r="AD14" s="128">
        <v>0</v>
      </c>
      <c r="AE14" s="128">
        <v>0</v>
      </c>
      <c r="AF14" s="128">
        <v>0</v>
      </c>
      <c r="AG14" s="128"/>
      <c r="AH14" s="129">
        <v>378.839426</v>
      </c>
      <c r="AI14" s="128">
        <v>1675.273279</v>
      </c>
      <c r="AJ14" s="128">
        <v>1304.1544570000001</v>
      </c>
      <c r="AK14" s="128">
        <f t="shared" si="6"/>
        <v>3358.2671620000001</v>
      </c>
      <c r="AL14" s="128"/>
      <c r="AM14" s="128">
        <v>2899.9635429999998</v>
      </c>
      <c r="AN14" s="128">
        <v>987.08260900000005</v>
      </c>
      <c r="AO14" s="128">
        <v>0</v>
      </c>
      <c r="AP14" s="128">
        <f t="shared" si="7"/>
        <v>3887.0461519999999</v>
      </c>
      <c r="AQ14" s="128">
        <f t="shared" si="8"/>
        <v>7245.313314</v>
      </c>
    </row>
    <row r="15" spans="2:43" x14ac:dyDescent="0.2">
      <c r="B15" s="18">
        <v>2211</v>
      </c>
      <c r="C15" s="127" t="s">
        <v>120</v>
      </c>
      <c r="D15" s="133">
        <v>0</v>
      </c>
      <c r="E15" s="133">
        <v>0</v>
      </c>
      <c r="F15" s="133">
        <v>0</v>
      </c>
      <c r="G15" s="128">
        <v>0</v>
      </c>
      <c r="H15" s="128"/>
      <c r="I15" s="128">
        <v>371.5750116665684</v>
      </c>
      <c r="J15" s="128">
        <v>1159.9420250000001</v>
      </c>
      <c r="K15" s="128">
        <f t="shared" si="0"/>
        <v>1531.5170366665684</v>
      </c>
      <c r="L15" s="128"/>
      <c r="M15" s="128">
        <v>905.68405889201449</v>
      </c>
      <c r="N15" s="128">
        <v>1340.575857</v>
      </c>
      <c r="O15" s="128">
        <v>0</v>
      </c>
      <c r="P15" s="128">
        <f t="shared" si="1"/>
        <v>2246.2599158920148</v>
      </c>
      <c r="Q15" s="128">
        <f t="shared" si="2"/>
        <v>3777.7769525585832</v>
      </c>
      <c r="R15" s="128">
        <v>0</v>
      </c>
      <c r="S15" s="128">
        <v>0</v>
      </c>
      <c r="T15" s="128"/>
      <c r="U15" s="128">
        <v>658.88929099999996</v>
      </c>
      <c r="V15" s="128">
        <v>1250.4175029999999</v>
      </c>
      <c r="W15" s="128">
        <f t="shared" si="3"/>
        <v>1909.3067939999999</v>
      </c>
      <c r="X15" s="128"/>
      <c r="Y15" s="128">
        <v>1908.5922109999999</v>
      </c>
      <c r="Z15" s="128">
        <v>961.27757199999996</v>
      </c>
      <c r="AA15" s="128">
        <v>0</v>
      </c>
      <c r="AB15" s="128">
        <f t="shared" si="4"/>
        <v>2869.8697830000001</v>
      </c>
      <c r="AC15" s="128">
        <f t="shared" si="5"/>
        <v>4779.1765770000002</v>
      </c>
      <c r="AD15" s="128">
        <v>0</v>
      </c>
      <c r="AE15" s="128">
        <v>0</v>
      </c>
      <c r="AF15" s="128">
        <v>0</v>
      </c>
      <c r="AG15" s="128"/>
      <c r="AH15" s="129">
        <v>261.06248199999999</v>
      </c>
      <c r="AI15" s="128">
        <v>1380.776472</v>
      </c>
      <c r="AJ15" s="128">
        <v>21.59122</v>
      </c>
      <c r="AK15" s="128">
        <f t="shared" si="6"/>
        <v>1663.4301740000001</v>
      </c>
      <c r="AL15" s="128"/>
      <c r="AM15" s="128">
        <v>1958.296658</v>
      </c>
      <c r="AN15" s="128">
        <v>769.99332900000002</v>
      </c>
      <c r="AO15" s="128">
        <v>0</v>
      </c>
      <c r="AP15" s="128">
        <f t="shared" si="7"/>
        <v>2728.2899870000001</v>
      </c>
      <c r="AQ15" s="128">
        <f t="shared" si="8"/>
        <v>4391.7201610000002</v>
      </c>
    </row>
    <row r="16" spans="2:43" x14ac:dyDescent="0.2">
      <c r="B16" s="18">
        <v>2301</v>
      </c>
      <c r="C16" s="127" t="s">
        <v>105</v>
      </c>
      <c r="D16" s="133">
        <v>3279.978916</v>
      </c>
      <c r="E16" s="133">
        <v>0</v>
      </c>
      <c r="F16" s="133">
        <v>3279.978916</v>
      </c>
      <c r="G16" s="128">
        <v>3384.2822459399999</v>
      </c>
      <c r="H16" s="128">
        <v>114.79926206000002</v>
      </c>
      <c r="I16" s="128">
        <v>359.45581110126682</v>
      </c>
      <c r="J16" s="128">
        <v>0</v>
      </c>
      <c r="K16" s="128">
        <f t="shared" si="0"/>
        <v>3858.5373191012668</v>
      </c>
      <c r="L16" s="128"/>
      <c r="M16" s="128">
        <v>1056.2643289190473</v>
      </c>
      <c r="N16" s="128">
        <v>1840.899866</v>
      </c>
      <c r="O16" s="128">
        <v>0</v>
      </c>
      <c r="P16" s="128">
        <f t="shared" si="1"/>
        <v>2897.1641949190471</v>
      </c>
      <c r="Q16" s="128">
        <f t="shared" si="2"/>
        <v>6755.7015140203139</v>
      </c>
      <c r="R16" s="128">
        <v>3512.88497098172</v>
      </c>
      <c r="S16" s="128">
        <v>119.16163401828003</v>
      </c>
      <c r="T16" s="128">
        <v>139.96325999999999</v>
      </c>
      <c r="U16" s="128">
        <v>757.74852599999997</v>
      </c>
      <c r="V16" s="128"/>
      <c r="W16" s="128">
        <f t="shared" si="3"/>
        <v>4529.7583910000003</v>
      </c>
      <c r="X16" s="128"/>
      <c r="Y16" s="128">
        <v>2142.4119289999999</v>
      </c>
      <c r="Z16" s="128">
        <v>0</v>
      </c>
      <c r="AA16" s="128">
        <v>878.15799600000003</v>
      </c>
      <c r="AB16" s="128">
        <f t="shared" si="4"/>
        <v>3020.5699249999998</v>
      </c>
      <c r="AC16" s="128">
        <f t="shared" si="5"/>
        <v>7550.3283160000001</v>
      </c>
      <c r="AD16" s="128">
        <v>3569.4424191880257</v>
      </c>
      <c r="AE16" s="128">
        <v>121.08013632597434</v>
      </c>
      <c r="AF16" s="128">
        <v>142.216668486</v>
      </c>
      <c r="AG16" s="128">
        <v>169.740444</v>
      </c>
      <c r="AH16" s="129">
        <v>380.19021600000002</v>
      </c>
      <c r="AI16" s="128"/>
      <c r="AJ16" s="128">
        <v>1416.1833939999999</v>
      </c>
      <c r="AK16" s="128">
        <f t="shared" si="6"/>
        <v>5798.8532779999996</v>
      </c>
      <c r="AL16" s="128"/>
      <c r="AM16" s="128">
        <v>2392.676097</v>
      </c>
      <c r="AN16" s="128">
        <v>0</v>
      </c>
      <c r="AO16" s="128">
        <v>577.30386799999997</v>
      </c>
      <c r="AP16" s="128">
        <f t="shared" si="7"/>
        <v>2969.979965</v>
      </c>
      <c r="AQ16" s="128">
        <f t="shared" si="8"/>
        <v>8768.8332429999991</v>
      </c>
    </row>
    <row r="17" spans="2:43" x14ac:dyDescent="0.2">
      <c r="B17" s="18">
        <v>2302</v>
      </c>
      <c r="C17" s="127" t="s">
        <v>114</v>
      </c>
      <c r="D17" s="133">
        <v>0</v>
      </c>
      <c r="E17" s="133">
        <v>0</v>
      </c>
      <c r="F17" s="133">
        <v>0</v>
      </c>
      <c r="G17" s="128">
        <v>0</v>
      </c>
      <c r="H17" s="128"/>
      <c r="I17" s="128">
        <v>385.36247655924103</v>
      </c>
      <c r="J17" s="128">
        <v>1132.6662140000001</v>
      </c>
      <c r="K17" s="128">
        <f t="shared" si="0"/>
        <v>1518.0286905592411</v>
      </c>
      <c r="L17" s="128"/>
      <c r="M17" s="128">
        <v>974.93525590937475</v>
      </c>
      <c r="N17" s="128">
        <v>2009.6280340000001</v>
      </c>
      <c r="O17" s="128">
        <v>0</v>
      </c>
      <c r="P17" s="128">
        <f t="shared" si="1"/>
        <v>2984.5632899093748</v>
      </c>
      <c r="Q17" s="128">
        <f t="shared" si="2"/>
        <v>4502.5919804686164</v>
      </c>
      <c r="R17" s="128">
        <v>0</v>
      </c>
      <c r="S17" s="128">
        <v>0</v>
      </c>
      <c r="T17" s="128"/>
      <c r="U17" s="128">
        <v>746.07902300000001</v>
      </c>
      <c r="V17" s="128">
        <v>1221.014179</v>
      </c>
      <c r="W17" s="128">
        <f t="shared" si="3"/>
        <v>1967.093202</v>
      </c>
      <c r="X17" s="128"/>
      <c r="Y17" s="128">
        <v>1907.9600519999999</v>
      </c>
      <c r="Z17" s="128">
        <v>1135.578456</v>
      </c>
      <c r="AA17" s="128">
        <v>0</v>
      </c>
      <c r="AB17" s="128">
        <f t="shared" si="4"/>
        <v>3043.5385079999996</v>
      </c>
      <c r="AC17" s="128">
        <f t="shared" si="5"/>
        <v>5010.6317099999997</v>
      </c>
      <c r="AD17" s="128">
        <v>0</v>
      </c>
      <c r="AE17" s="128">
        <v>0</v>
      </c>
      <c r="AF17" s="128">
        <v>0</v>
      </c>
      <c r="AG17" s="128"/>
      <c r="AH17" s="129">
        <v>329.41428200000001</v>
      </c>
      <c r="AI17" s="128">
        <v>1546.4145149999999</v>
      </c>
      <c r="AJ17" s="128">
        <v>1187.9428419999999</v>
      </c>
      <c r="AK17" s="128">
        <f t="shared" si="6"/>
        <v>3063.7716389999996</v>
      </c>
      <c r="AL17" s="128"/>
      <c r="AM17" s="128">
        <v>2206.9219710000002</v>
      </c>
      <c r="AN17" s="128">
        <v>775.71568000000002</v>
      </c>
      <c r="AO17" s="128">
        <v>0</v>
      </c>
      <c r="AP17" s="128">
        <f t="shared" si="7"/>
        <v>2982.637651</v>
      </c>
      <c r="AQ17" s="128">
        <f t="shared" si="8"/>
        <v>6046.4092899999996</v>
      </c>
    </row>
    <row r="18" spans="2:43" x14ac:dyDescent="0.2">
      <c r="B18" s="18">
        <v>3102</v>
      </c>
      <c r="C18" s="130" t="s">
        <v>112</v>
      </c>
      <c r="D18" s="133">
        <v>4392.3463549999997</v>
      </c>
      <c r="E18" s="133">
        <v>0</v>
      </c>
      <c r="F18" s="133">
        <v>4392.3463549999997</v>
      </c>
      <c r="G18" s="128">
        <v>4532.0229695750004</v>
      </c>
      <c r="H18" s="128">
        <v>153.732122425</v>
      </c>
      <c r="I18" s="128">
        <v>329.90469686859882</v>
      </c>
      <c r="J18" s="128">
        <v>0</v>
      </c>
      <c r="K18" s="128">
        <f t="shared" si="0"/>
        <v>5015.6597888685992</v>
      </c>
      <c r="L18" s="128"/>
      <c r="M18" s="128">
        <v>626.11390074060455</v>
      </c>
      <c r="N18" s="128">
        <v>1011.538216</v>
      </c>
      <c r="O18" s="128">
        <v>0</v>
      </c>
      <c r="P18" s="128">
        <f t="shared" si="1"/>
        <v>1637.6521167406045</v>
      </c>
      <c r="Q18" s="128">
        <f t="shared" si="2"/>
        <v>6653.3119056092037</v>
      </c>
      <c r="R18" s="128">
        <v>4704.2398419228502</v>
      </c>
      <c r="S18" s="128">
        <v>159.57394307715001</v>
      </c>
      <c r="T18" s="128">
        <v>187.430204</v>
      </c>
      <c r="U18" s="128">
        <v>700.97518200000002</v>
      </c>
      <c r="V18" s="128"/>
      <c r="W18" s="128">
        <f t="shared" si="3"/>
        <v>5752.2191710000006</v>
      </c>
      <c r="X18" s="128"/>
      <c r="Y18" s="128">
        <v>1706.5682260000001</v>
      </c>
      <c r="Z18" s="128">
        <v>409.88395099999997</v>
      </c>
      <c r="AA18" s="128">
        <v>145.14812499999999</v>
      </c>
      <c r="AB18" s="128">
        <f t="shared" si="4"/>
        <v>2261.6003020000003</v>
      </c>
      <c r="AC18" s="128">
        <f t="shared" si="5"/>
        <v>8013.8194730000014</v>
      </c>
      <c r="AD18" s="128">
        <v>4779.9781031549073</v>
      </c>
      <c r="AE18" s="128">
        <v>162.14308356069213</v>
      </c>
      <c r="AF18" s="128">
        <v>190.4478302844</v>
      </c>
      <c r="AG18" s="128">
        <v>227.30598000000001</v>
      </c>
      <c r="AH18" s="129">
        <v>336.52597800000001</v>
      </c>
      <c r="AI18" s="128"/>
      <c r="AJ18" s="128">
        <v>24.9984</v>
      </c>
      <c r="AK18" s="128">
        <f t="shared" si="6"/>
        <v>5721.399375</v>
      </c>
      <c r="AL18" s="128"/>
      <c r="AM18" s="128">
        <v>2139.1631430000002</v>
      </c>
      <c r="AN18" s="128">
        <v>394.674352</v>
      </c>
      <c r="AO18" s="128">
        <v>83.829134999999994</v>
      </c>
      <c r="AP18" s="128">
        <f t="shared" si="7"/>
        <v>2617.6666300000002</v>
      </c>
      <c r="AQ18" s="128">
        <f t="shared" si="8"/>
        <v>8339.0660050000006</v>
      </c>
    </row>
    <row r="19" spans="2:43" x14ac:dyDescent="0.2">
      <c r="B19" s="18">
        <v>3103</v>
      </c>
      <c r="C19" s="127" t="s">
        <v>106</v>
      </c>
      <c r="D19" s="133">
        <v>4224.6790780000001</v>
      </c>
      <c r="E19" s="133">
        <v>0</v>
      </c>
      <c r="F19" s="133">
        <v>4224.6790780000001</v>
      </c>
      <c r="G19" s="128">
        <v>4359.0238722699996</v>
      </c>
      <c r="H19" s="128">
        <v>147.86376773000001</v>
      </c>
      <c r="I19" s="128">
        <v>351.53822701213562</v>
      </c>
      <c r="J19" s="128">
        <v>0</v>
      </c>
      <c r="K19" s="128">
        <f t="shared" si="0"/>
        <v>4858.4258670121353</v>
      </c>
      <c r="L19" s="128"/>
      <c r="M19" s="128">
        <v>764.07500742199682</v>
      </c>
      <c r="N19" s="128">
        <v>205.697587</v>
      </c>
      <c r="O19" s="128">
        <v>1180.4063630000001</v>
      </c>
      <c r="P19" s="128">
        <f t="shared" si="1"/>
        <v>2150.178957421997</v>
      </c>
      <c r="Q19" s="128">
        <f t="shared" si="2"/>
        <v>7008.6048244341328</v>
      </c>
      <c r="R19" s="128">
        <v>4524.6667790962601</v>
      </c>
      <c r="S19" s="128">
        <v>153.48259090374</v>
      </c>
      <c r="T19" s="128">
        <v>180.27550600000001</v>
      </c>
      <c r="U19" s="128">
        <v>649.67266400000005</v>
      </c>
      <c r="V19" s="128"/>
      <c r="W19" s="128">
        <f t="shared" si="3"/>
        <v>5508.0975399999998</v>
      </c>
      <c r="X19" s="128"/>
      <c r="Y19" s="128">
        <v>1553.570968</v>
      </c>
      <c r="Z19" s="128">
        <v>460.32709700000004</v>
      </c>
      <c r="AA19" s="128">
        <v>286.69248199999998</v>
      </c>
      <c r="AB19" s="128">
        <f t="shared" si="4"/>
        <v>2300.5905470000002</v>
      </c>
      <c r="AC19" s="128">
        <f t="shared" si="5"/>
        <v>7808.6880870000005</v>
      </c>
      <c r="AD19" s="128">
        <v>4597.5139147361097</v>
      </c>
      <c r="AE19" s="128">
        <v>155.95366061729021</v>
      </c>
      <c r="AF19" s="128">
        <v>183.1779416466</v>
      </c>
      <c r="AG19" s="128">
        <v>218.629119</v>
      </c>
      <c r="AH19" s="129">
        <v>337.81774200000001</v>
      </c>
      <c r="AI19" s="128"/>
      <c r="AJ19" s="128">
        <v>182.034876</v>
      </c>
      <c r="AK19" s="128">
        <f t="shared" si="6"/>
        <v>5675.127254</v>
      </c>
      <c r="AL19" s="128"/>
      <c r="AM19" s="128">
        <v>2089.6426900000001</v>
      </c>
      <c r="AN19" s="128">
        <v>474.73165399999999</v>
      </c>
      <c r="AO19" s="128">
        <v>0</v>
      </c>
      <c r="AP19" s="128">
        <f t="shared" si="7"/>
        <v>2564.3743440000003</v>
      </c>
      <c r="AQ19" s="128">
        <f t="shared" si="8"/>
        <v>8239.5015980000007</v>
      </c>
    </row>
    <row r="20" spans="2:43" x14ac:dyDescent="0.2">
      <c r="B20" s="18">
        <v>3104</v>
      </c>
      <c r="C20" s="127" t="s">
        <v>111</v>
      </c>
      <c r="D20" s="133">
        <v>5672.0631069999999</v>
      </c>
      <c r="E20" s="133">
        <v>0</v>
      </c>
      <c r="F20" s="133">
        <v>5672.0631069999999</v>
      </c>
      <c r="G20" s="128">
        <v>5852.4347142549996</v>
      </c>
      <c r="H20" s="128">
        <v>198.522208745</v>
      </c>
      <c r="I20" s="128">
        <v>357.88944323636076</v>
      </c>
      <c r="J20" s="128">
        <v>0</v>
      </c>
      <c r="K20" s="128">
        <f t="shared" si="0"/>
        <v>6408.8463662363602</v>
      </c>
      <c r="L20" s="128"/>
      <c r="M20" s="128">
        <v>927.97486679802591</v>
      </c>
      <c r="N20" s="128">
        <v>609.22600699999998</v>
      </c>
      <c r="O20" s="128">
        <v>882.84919300000001</v>
      </c>
      <c r="P20" s="128">
        <f t="shared" si="1"/>
        <v>2420.0500667980259</v>
      </c>
      <c r="Q20" s="128">
        <f t="shared" si="2"/>
        <v>8828.8964330343861</v>
      </c>
      <c r="R20" s="128">
        <v>6074.8272333226896</v>
      </c>
      <c r="S20" s="128">
        <v>206.06605267731001</v>
      </c>
      <c r="T20" s="128">
        <v>242.038276</v>
      </c>
      <c r="U20" s="128">
        <v>701.96013100000005</v>
      </c>
      <c r="V20" s="128"/>
      <c r="W20" s="128">
        <f t="shared" si="3"/>
        <v>7224.8916929999996</v>
      </c>
      <c r="X20" s="128"/>
      <c r="Y20" s="128">
        <v>1821.049029</v>
      </c>
      <c r="Z20" s="128">
        <v>0</v>
      </c>
      <c r="AA20" s="128">
        <v>911.605728</v>
      </c>
      <c r="AB20" s="128">
        <f t="shared" si="4"/>
        <v>2732.6547570000002</v>
      </c>
      <c r="AC20" s="128">
        <f t="shared" si="5"/>
        <v>9957.5464499999998</v>
      </c>
      <c r="AD20" s="128">
        <v>6172.631951630985</v>
      </c>
      <c r="AE20" s="128">
        <v>209.38371612541471</v>
      </c>
      <c r="AF20" s="128">
        <v>245.9350922436</v>
      </c>
      <c r="AG20" s="128">
        <v>293.53192000000001</v>
      </c>
      <c r="AH20" s="129">
        <v>373.48413699999998</v>
      </c>
      <c r="AI20" s="128"/>
      <c r="AJ20" s="128">
        <v>210.1876</v>
      </c>
      <c r="AK20" s="128">
        <f t="shared" si="6"/>
        <v>7505.1544170000006</v>
      </c>
      <c r="AL20" s="128"/>
      <c r="AM20" s="128">
        <v>2393.7633329999999</v>
      </c>
      <c r="AN20" s="128">
        <v>0</v>
      </c>
      <c r="AO20" s="128">
        <v>641.37392199999999</v>
      </c>
      <c r="AP20" s="128">
        <f t="shared" si="7"/>
        <v>3035.1372549999996</v>
      </c>
      <c r="AQ20" s="128">
        <f t="shared" si="8"/>
        <v>10540.291671999999</v>
      </c>
    </row>
    <row r="21" spans="2:43" x14ac:dyDescent="0.2">
      <c r="B21" s="18">
        <v>3107</v>
      </c>
      <c r="C21" s="127" t="s">
        <v>109</v>
      </c>
      <c r="D21" s="133">
        <v>10551.950305</v>
      </c>
      <c r="E21" s="133">
        <v>0</v>
      </c>
      <c r="F21" s="133">
        <v>10551.950305</v>
      </c>
      <c r="G21" s="128">
        <v>10887.502324325</v>
      </c>
      <c r="H21" s="128">
        <v>369.31826067500003</v>
      </c>
      <c r="I21" s="128">
        <v>487.63312255554291</v>
      </c>
      <c r="J21" s="128">
        <v>0</v>
      </c>
      <c r="K21" s="128">
        <f t="shared" si="0"/>
        <v>11744.453707555542</v>
      </c>
      <c r="L21" s="128"/>
      <c r="M21" s="128">
        <v>1054.9191438441057</v>
      </c>
      <c r="N21" s="128">
        <v>646.53461100000004</v>
      </c>
      <c r="O21" s="128">
        <v>2133.7026689999998</v>
      </c>
      <c r="P21" s="128">
        <f t="shared" si="1"/>
        <v>3835.1564238441056</v>
      </c>
      <c r="Q21" s="128">
        <f t="shared" si="2"/>
        <v>15579.610131399648</v>
      </c>
      <c r="R21" s="128">
        <v>11301.22741241935</v>
      </c>
      <c r="S21" s="128">
        <v>383.35235458065006</v>
      </c>
      <c r="T21" s="128">
        <v>450.27282200000002</v>
      </c>
      <c r="U21" s="128">
        <v>752.44468800000004</v>
      </c>
      <c r="V21" s="128"/>
      <c r="W21" s="128">
        <f t="shared" si="3"/>
        <v>12887.297277</v>
      </c>
      <c r="X21" s="128"/>
      <c r="Y21" s="128">
        <v>2141.9280079999999</v>
      </c>
      <c r="Z21" s="128">
        <v>1352.525253</v>
      </c>
      <c r="AA21" s="128">
        <v>0</v>
      </c>
      <c r="AB21" s="128">
        <f t="shared" si="4"/>
        <v>3494.4532609999997</v>
      </c>
      <c r="AC21" s="128">
        <f t="shared" si="5"/>
        <v>16381.750538</v>
      </c>
      <c r="AD21" s="128">
        <v>11483.177174076402</v>
      </c>
      <c r="AE21" s="128">
        <v>389.5243274893985</v>
      </c>
      <c r="AF21" s="128">
        <v>457.52221443420001</v>
      </c>
      <c r="AG21" s="128">
        <v>546.06836599999997</v>
      </c>
      <c r="AH21" s="129">
        <v>343.88535200000001</v>
      </c>
      <c r="AI21" s="128"/>
      <c r="AJ21" s="128">
        <v>324.33978200000001</v>
      </c>
      <c r="AK21" s="128">
        <f t="shared" si="6"/>
        <v>13544.517216</v>
      </c>
      <c r="AL21" s="128"/>
      <c r="AM21" s="128">
        <v>2408.5850610000002</v>
      </c>
      <c r="AN21" s="128">
        <v>788.03926799999999</v>
      </c>
      <c r="AO21" s="128">
        <v>0</v>
      </c>
      <c r="AP21" s="128">
        <f t="shared" si="7"/>
        <v>3196.6243290000002</v>
      </c>
      <c r="AQ21" s="128">
        <f t="shared" si="8"/>
        <v>16741.141544999999</v>
      </c>
    </row>
    <row r="22" spans="2:43" x14ac:dyDescent="0.2">
      <c r="B22" s="18">
        <v>3115</v>
      </c>
      <c r="C22" s="127" t="s">
        <v>100</v>
      </c>
      <c r="D22" s="133">
        <v>2916.435172</v>
      </c>
      <c r="E22" s="133">
        <v>0</v>
      </c>
      <c r="F22" s="133">
        <v>2916.435172</v>
      </c>
      <c r="G22" s="128">
        <v>3009.1778099799999</v>
      </c>
      <c r="H22" s="128">
        <v>102.07523102</v>
      </c>
      <c r="I22" s="128">
        <v>355.80619571331829</v>
      </c>
      <c r="J22" s="128">
        <v>0</v>
      </c>
      <c r="K22" s="128">
        <f t="shared" si="0"/>
        <v>3467.0592367133181</v>
      </c>
      <c r="L22" s="128"/>
      <c r="M22" s="128">
        <v>723.44009085926984</v>
      </c>
      <c r="N22" s="128">
        <v>0</v>
      </c>
      <c r="O22" s="128">
        <v>1046.411513</v>
      </c>
      <c r="P22" s="128">
        <f t="shared" si="1"/>
        <v>1769.8516038592697</v>
      </c>
      <c r="Q22" s="128">
        <f t="shared" si="2"/>
        <v>5236.9108405725874</v>
      </c>
      <c r="R22" s="128">
        <v>3123.5265672012397</v>
      </c>
      <c r="S22" s="128">
        <v>105.95408979876001</v>
      </c>
      <c r="T22" s="128">
        <v>124.45012199999999</v>
      </c>
      <c r="U22" s="128">
        <v>754.18086900000003</v>
      </c>
      <c r="V22" s="128"/>
      <c r="W22" s="128">
        <f t="shared" si="3"/>
        <v>4108.1116480000001</v>
      </c>
      <c r="X22" s="128"/>
      <c r="Y22" s="128">
        <v>1816.79936</v>
      </c>
      <c r="Z22" s="128">
        <v>0</v>
      </c>
      <c r="AA22" s="128">
        <v>678.89952000000005</v>
      </c>
      <c r="AB22" s="128">
        <f t="shared" si="4"/>
        <v>2495.6988799999999</v>
      </c>
      <c r="AC22" s="128">
        <f t="shared" si="5"/>
        <v>6603.810528</v>
      </c>
      <c r="AD22" s="128">
        <v>3173.8153453912796</v>
      </c>
      <c r="AE22" s="128">
        <v>107.65995064452005</v>
      </c>
      <c r="AF22" s="128">
        <v>126.45376896419999</v>
      </c>
      <c r="AG22" s="128">
        <v>150.926885</v>
      </c>
      <c r="AH22" s="129">
        <v>402.19367399999999</v>
      </c>
      <c r="AI22" s="128"/>
      <c r="AJ22" s="128">
        <v>54.083410000000001</v>
      </c>
      <c r="AK22" s="128">
        <f t="shared" si="6"/>
        <v>4015.133034</v>
      </c>
      <c r="AL22" s="128"/>
      <c r="AM22" s="128">
        <v>2603.2222099999999</v>
      </c>
      <c r="AN22" s="128">
        <v>0</v>
      </c>
      <c r="AO22" s="128">
        <v>439.932862</v>
      </c>
      <c r="AP22" s="128">
        <f t="shared" si="7"/>
        <v>3043.155072</v>
      </c>
      <c r="AQ22" s="128">
        <f t="shared" si="8"/>
        <v>7058.288106</v>
      </c>
    </row>
    <row r="23" spans="2:43" x14ac:dyDescent="0.2">
      <c r="B23" s="18">
        <v>3117</v>
      </c>
      <c r="C23" s="127" t="s">
        <v>107</v>
      </c>
      <c r="D23" s="133">
        <v>4604.7924640000001</v>
      </c>
      <c r="E23" s="133">
        <v>0</v>
      </c>
      <c r="F23" s="133">
        <v>4604.7924640000001</v>
      </c>
      <c r="G23" s="128">
        <v>4751.2248647599999</v>
      </c>
      <c r="H23" s="128">
        <v>161.16773624000001</v>
      </c>
      <c r="I23" s="128">
        <v>458.16730357862042</v>
      </c>
      <c r="J23" s="128">
        <v>0</v>
      </c>
      <c r="K23" s="128">
        <f t="shared" si="0"/>
        <v>5370.5599045786203</v>
      </c>
      <c r="L23" s="128"/>
      <c r="M23" s="128">
        <v>1002.6446931416829</v>
      </c>
      <c r="N23" s="128">
        <v>2047.4029969999999</v>
      </c>
      <c r="O23" s="128">
        <v>0</v>
      </c>
      <c r="P23" s="128">
        <f t="shared" si="1"/>
        <v>3050.0476901416828</v>
      </c>
      <c r="Q23" s="128">
        <f t="shared" si="2"/>
        <v>8420.6075947203026</v>
      </c>
      <c r="R23" s="128">
        <v>4931.7714097828803</v>
      </c>
      <c r="S23" s="128">
        <v>167.29211021712001</v>
      </c>
      <c r="T23" s="128">
        <v>196.49570399999999</v>
      </c>
      <c r="U23" s="128">
        <v>845.61749699999996</v>
      </c>
      <c r="V23" s="128"/>
      <c r="W23" s="128">
        <f t="shared" si="3"/>
        <v>6141.1767210000007</v>
      </c>
      <c r="X23" s="128"/>
      <c r="Y23" s="128">
        <v>2277.0971979999999</v>
      </c>
      <c r="Z23" s="128">
        <v>227.24065099999984</v>
      </c>
      <c r="AA23" s="128">
        <v>1089.7726170000001</v>
      </c>
      <c r="AB23" s="128">
        <f t="shared" si="4"/>
        <v>3594.1104659999996</v>
      </c>
      <c r="AC23" s="128">
        <f t="shared" si="5"/>
        <v>9735.2871869999999</v>
      </c>
      <c r="AD23" s="128">
        <v>5011.1729299739845</v>
      </c>
      <c r="AE23" s="128">
        <v>169.98551319161564</v>
      </c>
      <c r="AF23" s="128">
        <v>199.65928483439998</v>
      </c>
      <c r="AG23" s="128">
        <v>238.30016499999999</v>
      </c>
      <c r="AH23" s="129">
        <v>387.60850099999999</v>
      </c>
      <c r="AI23" s="128"/>
      <c r="AJ23" s="128">
        <v>59.554088</v>
      </c>
      <c r="AK23" s="128">
        <f t="shared" si="6"/>
        <v>6066.2804819999992</v>
      </c>
      <c r="AL23" s="128"/>
      <c r="AM23" s="128">
        <v>2608.0846750000001</v>
      </c>
      <c r="AN23" s="128">
        <v>0</v>
      </c>
      <c r="AO23" s="128">
        <v>946.882203</v>
      </c>
      <c r="AP23" s="128">
        <f t="shared" si="7"/>
        <v>3554.9668780000002</v>
      </c>
      <c r="AQ23" s="128">
        <f t="shared" si="8"/>
        <v>9621.2473599999994</v>
      </c>
    </row>
    <row r="24" spans="2:43" x14ac:dyDescent="0.2">
      <c r="B24" s="18">
        <v>3201</v>
      </c>
      <c r="C24" s="127" t="s">
        <v>95</v>
      </c>
      <c r="D24" s="133">
        <v>0</v>
      </c>
      <c r="E24" s="133">
        <v>0</v>
      </c>
      <c r="F24" s="133">
        <v>0</v>
      </c>
      <c r="G24" s="128">
        <v>0</v>
      </c>
      <c r="H24" s="128"/>
      <c r="I24" s="128">
        <v>482.738003704775</v>
      </c>
      <c r="J24" s="128">
        <v>1686.5337939999999</v>
      </c>
      <c r="K24" s="128">
        <f t="shared" si="0"/>
        <v>2169.2717977047751</v>
      </c>
      <c r="L24" s="128"/>
      <c r="M24" s="128">
        <v>984.97477153520856</v>
      </c>
      <c r="N24" s="128">
        <v>3343.0396999999998</v>
      </c>
      <c r="O24" s="128">
        <v>0</v>
      </c>
      <c r="P24" s="128">
        <f t="shared" si="1"/>
        <v>4328.014471535208</v>
      </c>
      <c r="Q24" s="128">
        <f t="shared" si="2"/>
        <v>6497.2862692399831</v>
      </c>
      <c r="R24" s="128">
        <v>0</v>
      </c>
      <c r="S24" s="128">
        <v>0</v>
      </c>
      <c r="T24" s="128"/>
      <c r="U24" s="128">
        <v>836.43103099999996</v>
      </c>
      <c r="V24" s="128">
        <v>1818.0834299999999</v>
      </c>
      <c r="W24" s="128">
        <f t="shared" si="3"/>
        <v>2654.5144609999998</v>
      </c>
      <c r="X24" s="128"/>
      <c r="Y24" s="128">
        <v>2199.5128829999999</v>
      </c>
      <c r="Z24" s="128">
        <v>1738.736476</v>
      </c>
      <c r="AA24" s="128">
        <v>0</v>
      </c>
      <c r="AB24" s="128">
        <f t="shared" si="4"/>
        <v>3938.2493589999999</v>
      </c>
      <c r="AC24" s="128">
        <f t="shared" si="5"/>
        <v>6592.7638200000001</v>
      </c>
      <c r="AD24" s="128">
        <v>0</v>
      </c>
      <c r="AE24" s="128">
        <v>0</v>
      </c>
      <c r="AF24" s="128">
        <v>0</v>
      </c>
      <c r="AG24" s="128"/>
      <c r="AH24" s="129">
        <v>403.16234200000002</v>
      </c>
      <c r="AI24" s="128">
        <v>1914.080185</v>
      </c>
      <c r="AJ24" s="128">
        <v>411.909492</v>
      </c>
      <c r="AK24" s="128">
        <f t="shared" si="6"/>
        <v>2729.1520190000001</v>
      </c>
      <c r="AL24" s="128"/>
      <c r="AM24" s="128">
        <v>2935.0637179999999</v>
      </c>
      <c r="AN24" s="128">
        <v>1129.2635969999999</v>
      </c>
      <c r="AO24" s="128">
        <v>0</v>
      </c>
      <c r="AP24" s="128">
        <f t="shared" si="7"/>
        <v>4064.3273149999995</v>
      </c>
      <c r="AQ24" s="128">
        <f t="shared" si="8"/>
        <v>6793.4793339999997</v>
      </c>
    </row>
    <row r="25" spans="2:43" x14ac:dyDescent="0.2">
      <c r="B25" s="18">
        <v>3204</v>
      </c>
      <c r="C25" s="127" t="s">
        <v>98</v>
      </c>
      <c r="D25" s="133">
        <v>0</v>
      </c>
      <c r="E25" s="133">
        <v>0</v>
      </c>
      <c r="F25" s="133">
        <v>0</v>
      </c>
      <c r="G25" s="128">
        <v>0</v>
      </c>
      <c r="H25" s="128"/>
      <c r="I25" s="128">
        <v>530.92195208473561</v>
      </c>
      <c r="J25" s="128">
        <v>1695.7668980000001</v>
      </c>
      <c r="K25" s="128">
        <f t="shared" si="0"/>
        <v>2226.6888500847358</v>
      </c>
      <c r="L25" s="128"/>
      <c r="M25" s="128">
        <v>1109.8802251513864</v>
      </c>
      <c r="N25" s="128">
        <v>3283.9034539999998</v>
      </c>
      <c r="O25" s="128">
        <v>0</v>
      </c>
      <c r="P25" s="128">
        <f t="shared" si="1"/>
        <v>4393.7836791513864</v>
      </c>
      <c r="Q25" s="128">
        <f t="shared" si="2"/>
        <v>6620.4725292361218</v>
      </c>
      <c r="R25" s="128">
        <v>0</v>
      </c>
      <c r="S25" s="128">
        <v>0</v>
      </c>
      <c r="T25" s="128"/>
      <c r="U25" s="128">
        <v>846.47234000000003</v>
      </c>
      <c r="V25" s="128">
        <v>1828.0367159999998</v>
      </c>
      <c r="W25" s="128">
        <f t="shared" si="3"/>
        <v>2674.5090559999999</v>
      </c>
      <c r="X25" s="128"/>
      <c r="Y25" s="128">
        <v>2339.3255290000002</v>
      </c>
      <c r="Z25" s="128">
        <v>1717.8925369999999</v>
      </c>
      <c r="AA25" s="128">
        <v>0</v>
      </c>
      <c r="AB25" s="128">
        <f t="shared" si="4"/>
        <v>4057.2180660000004</v>
      </c>
      <c r="AC25" s="128">
        <f t="shared" si="5"/>
        <v>6731.7271220000002</v>
      </c>
      <c r="AD25" s="128">
        <v>0</v>
      </c>
      <c r="AE25" s="128">
        <v>0</v>
      </c>
      <c r="AF25" s="128">
        <v>0</v>
      </c>
      <c r="AG25" s="128"/>
      <c r="AH25" s="129">
        <v>411.32725599999998</v>
      </c>
      <c r="AI25" s="128">
        <v>1676.3618300000001</v>
      </c>
      <c r="AJ25" s="128">
        <v>1045.229945</v>
      </c>
      <c r="AK25" s="128">
        <f t="shared" si="6"/>
        <v>3132.9190309999999</v>
      </c>
      <c r="AL25" s="128"/>
      <c r="AM25" s="128">
        <v>2869.423436</v>
      </c>
      <c r="AN25" s="128">
        <v>0</v>
      </c>
      <c r="AO25" s="128">
        <v>1031.4460449999999</v>
      </c>
      <c r="AP25" s="128">
        <f t="shared" si="7"/>
        <v>3900.8694809999997</v>
      </c>
      <c r="AQ25" s="128">
        <f t="shared" si="8"/>
        <v>7033.7885119999992</v>
      </c>
    </row>
    <row r="26" spans="2:43" x14ac:dyDescent="0.2">
      <c r="B26" s="18">
        <v>3301</v>
      </c>
      <c r="C26" s="127" t="s">
        <v>99</v>
      </c>
      <c r="D26" s="133">
        <v>0</v>
      </c>
      <c r="E26" s="133">
        <v>0</v>
      </c>
      <c r="F26" s="133">
        <v>0</v>
      </c>
      <c r="G26" s="128">
        <v>0</v>
      </c>
      <c r="H26" s="128"/>
      <c r="I26" s="128">
        <v>404.21783025822663</v>
      </c>
      <c r="J26" s="128">
        <v>1528.051551</v>
      </c>
      <c r="K26" s="128">
        <f t="shared" si="0"/>
        <v>1932.2693812582265</v>
      </c>
      <c r="L26" s="128"/>
      <c r="M26" s="128">
        <v>885.52856068054223</v>
      </c>
      <c r="N26" s="128">
        <v>2082.6882999999998</v>
      </c>
      <c r="O26" s="128">
        <v>0</v>
      </c>
      <c r="P26" s="128">
        <f t="shared" si="1"/>
        <v>2968.2168606805421</v>
      </c>
      <c r="Q26" s="128">
        <f t="shared" si="2"/>
        <v>4900.4862419387682</v>
      </c>
      <c r="R26" s="128">
        <v>0</v>
      </c>
      <c r="S26" s="128">
        <v>0</v>
      </c>
      <c r="T26" s="128"/>
      <c r="U26" s="128">
        <v>810.63460399999997</v>
      </c>
      <c r="V26" s="128">
        <v>1647.239572</v>
      </c>
      <c r="W26" s="128">
        <f t="shared" si="3"/>
        <v>2457.8741759999998</v>
      </c>
      <c r="X26" s="128"/>
      <c r="Y26" s="128">
        <v>2253.3492729999998</v>
      </c>
      <c r="Z26" s="128">
        <v>1223.4717459999999</v>
      </c>
      <c r="AA26" s="128">
        <v>0</v>
      </c>
      <c r="AB26" s="128">
        <f t="shared" si="4"/>
        <v>3476.821019</v>
      </c>
      <c r="AC26" s="128">
        <f t="shared" si="5"/>
        <v>5934.6951950000002</v>
      </c>
      <c r="AD26" s="128">
        <v>0</v>
      </c>
      <c r="AE26" s="128">
        <v>0</v>
      </c>
      <c r="AF26" s="128">
        <v>0</v>
      </c>
      <c r="AG26" s="128"/>
      <c r="AH26" s="129">
        <v>363.76875799999999</v>
      </c>
      <c r="AI26" s="128">
        <v>1504.052694</v>
      </c>
      <c r="AJ26" s="128">
        <v>1037.340641</v>
      </c>
      <c r="AK26" s="128">
        <f t="shared" si="6"/>
        <v>2905.1620929999999</v>
      </c>
      <c r="AL26" s="128"/>
      <c r="AM26" s="128">
        <v>2584.6932959999999</v>
      </c>
      <c r="AN26" s="128">
        <v>907.36422600000003</v>
      </c>
      <c r="AO26" s="128">
        <v>0</v>
      </c>
      <c r="AP26" s="128">
        <f t="shared" si="7"/>
        <v>3492.0575220000001</v>
      </c>
      <c r="AQ26" s="128">
        <f t="shared" si="8"/>
        <v>6397.219615</v>
      </c>
    </row>
    <row r="27" spans="2:43" x14ac:dyDescent="0.2">
      <c r="B27" s="18">
        <v>3302</v>
      </c>
      <c r="C27" s="127" t="s">
        <v>92</v>
      </c>
      <c r="D27" s="133">
        <v>0</v>
      </c>
      <c r="E27" s="133">
        <v>0</v>
      </c>
      <c r="F27" s="133">
        <v>0</v>
      </c>
      <c r="G27" s="128">
        <v>0</v>
      </c>
      <c r="H27" s="128"/>
      <c r="I27" s="128">
        <v>676.40449733090384</v>
      </c>
      <c r="J27" s="128">
        <v>1791.7751029999999</v>
      </c>
      <c r="K27" s="128">
        <f t="shared" si="0"/>
        <v>2468.1796003309037</v>
      </c>
      <c r="L27" s="128"/>
      <c r="M27" s="128">
        <v>1230.7990842475861</v>
      </c>
      <c r="N27" s="128">
        <v>4507.8122569999996</v>
      </c>
      <c r="O27" s="128">
        <v>0</v>
      </c>
      <c r="P27" s="128">
        <f t="shared" si="1"/>
        <v>5738.6113412475861</v>
      </c>
      <c r="Q27" s="128">
        <f t="shared" si="2"/>
        <v>8206.7909415784889</v>
      </c>
      <c r="R27" s="128">
        <v>0</v>
      </c>
      <c r="S27" s="128">
        <v>0</v>
      </c>
      <c r="T27" s="128"/>
      <c r="U27" s="128">
        <v>936.35813399999995</v>
      </c>
      <c r="V27" s="128">
        <v>1931.533561</v>
      </c>
      <c r="W27" s="128">
        <f t="shared" si="3"/>
        <v>2867.8916949999998</v>
      </c>
      <c r="X27" s="128"/>
      <c r="Y27" s="128">
        <v>2751.8405160000002</v>
      </c>
      <c r="Z27" s="128">
        <v>2017.9280590000001</v>
      </c>
      <c r="AA27" s="128">
        <v>0</v>
      </c>
      <c r="AB27" s="128">
        <f t="shared" si="4"/>
        <v>4769.7685750000001</v>
      </c>
      <c r="AC27" s="128">
        <f t="shared" si="5"/>
        <v>7637.6602700000003</v>
      </c>
      <c r="AD27" s="128">
        <v>0</v>
      </c>
      <c r="AE27" s="128">
        <v>0</v>
      </c>
      <c r="AF27" s="128">
        <v>0</v>
      </c>
      <c r="AG27" s="128"/>
      <c r="AH27" s="129">
        <v>468.74278700000002</v>
      </c>
      <c r="AI27" s="128">
        <v>1967.495862</v>
      </c>
      <c r="AJ27" s="128">
        <v>1312.861005</v>
      </c>
      <c r="AK27" s="128">
        <f t="shared" si="6"/>
        <v>3749.0996539999996</v>
      </c>
      <c r="AL27" s="128"/>
      <c r="AM27" s="128">
        <v>3698.7409259999999</v>
      </c>
      <c r="AN27" s="128">
        <v>1077.036879</v>
      </c>
      <c r="AO27" s="128">
        <v>0</v>
      </c>
      <c r="AP27" s="128">
        <f t="shared" si="7"/>
        <v>4775.7778049999997</v>
      </c>
      <c r="AQ27" s="128">
        <f t="shared" si="8"/>
        <v>8524.8774589999994</v>
      </c>
    </row>
    <row r="28" spans="2:43" x14ac:dyDescent="0.2">
      <c r="B28" s="18">
        <v>3303</v>
      </c>
      <c r="C28" s="127" t="s">
        <v>104</v>
      </c>
      <c r="D28" s="133">
        <v>0</v>
      </c>
      <c r="E28" s="133">
        <v>0</v>
      </c>
      <c r="F28" s="133">
        <v>0</v>
      </c>
      <c r="G28" s="128">
        <v>0</v>
      </c>
      <c r="H28" s="128"/>
      <c r="I28" s="128">
        <v>205.06780813051321</v>
      </c>
      <c r="J28" s="128">
        <v>895.67464099999995</v>
      </c>
      <c r="K28" s="128">
        <f t="shared" si="0"/>
        <v>1100.7424491305133</v>
      </c>
      <c r="L28" s="128"/>
      <c r="M28" s="128">
        <v>727.08380290959076</v>
      </c>
      <c r="N28" s="128">
        <v>1365.666849</v>
      </c>
      <c r="O28" s="128">
        <v>0</v>
      </c>
      <c r="P28" s="128">
        <f t="shared" si="1"/>
        <v>2092.7506519095905</v>
      </c>
      <c r="Q28" s="128">
        <f t="shared" si="2"/>
        <v>3193.4931010401037</v>
      </c>
      <c r="R28" s="128">
        <v>0</v>
      </c>
      <c r="S28" s="128">
        <v>0</v>
      </c>
      <c r="T28" s="128"/>
      <c r="U28" s="128">
        <v>451.94642199999998</v>
      </c>
      <c r="V28" s="128">
        <v>965.53726300000005</v>
      </c>
      <c r="W28" s="128">
        <f t="shared" si="3"/>
        <v>1417.4836850000002</v>
      </c>
      <c r="X28" s="128"/>
      <c r="Y28" s="128">
        <v>1159.060876</v>
      </c>
      <c r="Z28" s="128">
        <v>451.67257900000004</v>
      </c>
      <c r="AA28" s="128">
        <v>500</v>
      </c>
      <c r="AB28" s="128">
        <f t="shared" si="4"/>
        <v>2110.733455</v>
      </c>
      <c r="AC28" s="128">
        <f t="shared" si="5"/>
        <v>3528.2171400000002</v>
      </c>
      <c r="AD28" s="128">
        <v>0</v>
      </c>
      <c r="AE28" s="128">
        <v>0</v>
      </c>
      <c r="AF28" s="128">
        <v>0</v>
      </c>
      <c r="AG28" s="128"/>
      <c r="AH28" s="129">
        <v>270.03872999999999</v>
      </c>
      <c r="AI28" s="128">
        <v>1275.698635</v>
      </c>
      <c r="AJ28" s="128">
        <v>58.399495000000002</v>
      </c>
      <c r="AK28" s="128">
        <f t="shared" si="6"/>
        <v>1604.1368600000001</v>
      </c>
      <c r="AL28" s="128"/>
      <c r="AM28" s="128">
        <v>1977.634773</v>
      </c>
      <c r="AN28" s="128">
        <v>670.20151399999997</v>
      </c>
      <c r="AO28" s="128">
        <v>0</v>
      </c>
      <c r="AP28" s="128">
        <f t="shared" si="7"/>
        <v>2647.8362870000001</v>
      </c>
      <c r="AQ28" s="128">
        <f t="shared" si="8"/>
        <v>4251.9731470000006</v>
      </c>
    </row>
    <row r="29" spans="2:43" x14ac:dyDescent="0.2">
      <c r="B29" s="18">
        <v>4101</v>
      </c>
      <c r="C29" s="127" t="s">
        <v>108</v>
      </c>
      <c r="D29" s="133">
        <v>4339.3847139999998</v>
      </c>
      <c r="E29" s="133">
        <v>0</v>
      </c>
      <c r="F29" s="133">
        <v>4339.3847139999998</v>
      </c>
      <c r="G29" s="128">
        <v>4477.3771480100004</v>
      </c>
      <c r="H29" s="128">
        <v>151.87846499</v>
      </c>
      <c r="I29" s="128">
        <v>463.16367820665766</v>
      </c>
      <c r="J29" s="128">
        <v>0</v>
      </c>
      <c r="K29" s="128">
        <f t="shared" si="0"/>
        <v>5092.4192912066583</v>
      </c>
      <c r="L29" s="128"/>
      <c r="M29" s="128">
        <v>840.39705563848418</v>
      </c>
      <c r="N29" s="128">
        <v>1593.904951</v>
      </c>
      <c r="O29" s="128">
        <v>0</v>
      </c>
      <c r="P29" s="128">
        <f t="shared" si="1"/>
        <v>2434.3020066384843</v>
      </c>
      <c r="Q29" s="128">
        <f t="shared" si="2"/>
        <v>7526.7212978451425</v>
      </c>
      <c r="R29" s="128">
        <v>4647.5174793403794</v>
      </c>
      <c r="S29" s="128">
        <v>157.64984665962001</v>
      </c>
      <c r="T29" s="128">
        <v>185.17022499999999</v>
      </c>
      <c r="U29" s="128">
        <v>768.07181200000002</v>
      </c>
      <c r="V29" s="128"/>
      <c r="W29" s="128">
        <f t="shared" si="3"/>
        <v>5758.4093629999998</v>
      </c>
      <c r="X29" s="128"/>
      <c r="Y29" s="128">
        <v>1862.0928879999999</v>
      </c>
      <c r="Z29" s="128">
        <v>750.41470600000002</v>
      </c>
      <c r="AA29" s="128">
        <v>0</v>
      </c>
      <c r="AB29" s="128">
        <f t="shared" si="4"/>
        <v>2612.5075939999997</v>
      </c>
      <c r="AC29" s="128">
        <f t="shared" si="5"/>
        <v>8370.9169569999995</v>
      </c>
      <c r="AD29" s="128">
        <v>4722.34251118666</v>
      </c>
      <c r="AE29" s="128">
        <v>160.18800919083989</v>
      </c>
      <c r="AF29" s="128">
        <v>188.15146562249998</v>
      </c>
      <c r="AG29" s="128">
        <v>224.56519</v>
      </c>
      <c r="AH29" s="129">
        <v>359.55308600000001</v>
      </c>
      <c r="AI29" s="128"/>
      <c r="AJ29" s="128">
        <v>83.952792000000002</v>
      </c>
      <c r="AK29" s="128">
        <f t="shared" si="6"/>
        <v>5738.7530539999998</v>
      </c>
      <c r="AL29" s="128"/>
      <c r="AM29" s="128">
        <v>2170.4402399999999</v>
      </c>
      <c r="AN29" s="128">
        <v>498.40557200000001</v>
      </c>
      <c r="AO29" s="128">
        <v>0</v>
      </c>
      <c r="AP29" s="128">
        <f t="shared" si="7"/>
        <v>2668.845812</v>
      </c>
      <c r="AQ29" s="128">
        <f t="shared" si="8"/>
        <v>8407.5988660000003</v>
      </c>
    </row>
    <row r="30" spans="2:43" x14ac:dyDescent="0.2">
      <c r="B30" s="18">
        <v>4102</v>
      </c>
      <c r="C30" s="127" t="s">
        <v>96</v>
      </c>
      <c r="D30" s="133">
        <v>3781.777583</v>
      </c>
      <c r="E30" s="133">
        <v>863.41050700000005</v>
      </c>
      <c r="F30" s="133">
        <v>4645.1880899999996</v>
      </c>
      <c r="G30" s="128">
        <v>4099.1119101393997</v>
      </c>
      <c r="H30" s="128">
        <v>139.047215405</v>
      </c>
      <c r="I30" s="128">
        <v>176.90047036757645</v>
      </c>
      <c r="J30" s="128">
        <v>0</v>
      </c>
      <c r="K30" s="128">
        <f t="shared" si="0"/>
        <v>4415.0595959119764</v>
      </c>
      <c r="L30" s="128">
        <v>788.336769</v>
      </c>
      <c r="M30" s="128">
        <v>524.17372423850622</v>
      </c>
      <c r="N30" s="128">
        <v>0</v>
      </c>
      <c r="O30" s="128">
        <v>867.02807499999994</v>
      </c>
      <c r="P30" s="128">
        <f t="shared" si="1"/>
        <v>2179.5385682385058</v>
      </c>
      <c r="Q30" s="128">
        <f t="shared" si="2"/>
        <v>6594.5981641504823</v>
      </c>
      <c r="R30" s="128">
        <v>4254.8781634096104</v>
      </c>
      <c r="S30" s="128">
        <v>144.33100959039001</v>
      </c>
      <c r="T30" s="128">
        <v>169.526365</v>
      </c>
      <c r="U30" s="128">
        <v>673.21531300000004</v>
      </c>
      <c r="V30" s="128"/>
      <c r="W30" s="128">
        <f t="shared" si="3"/>
        <v>5241.9508509999996</v>
      </c>
      <c r="X30" s="128">
        <v>788.336769</v>
      </c>
      <c r="Y30" s="128">
        <v>1538.5746039999999</v>
      </c>
      <c r="Z30" s="128">
        <v>0</v>
      </c>
      <c r="AA30" s="128">
        <v>537.17386599999998</v>
      </c>
      <c r="AB30" s="128">
        <f t="shared" si="4"/>
        <v>2864.085239</v>
      </c>
      <c r="AC30" s="128">
        <f t="shared" si="5"/>
        <v>8106.0360899999996</v>
      </c>
      <c r="AD30" s="128">
        <v>4359.4747126787051</v>
      </c>
      <c r="AE30" s="128">
        <v>146.6547388447953</v>
      </c>
      <c r="AF30" s="128">
        <v>172.2557394765</v>
      </c>
      <c r="AG30" s="128">
        <v>205.593098</v>
      </c>
      <c r="AH30" s="129">
        <v>366.25467099999997</v>
      </c>
      <c r="AI30" s="128"/>
      <c r="AJ30" s="128">
        <v>0</v>
      </c>
      <c r="AK30" s="128">
        <f t="shared" si="6"/>
        <v>5250.2329600000003</v>
      </c>
      <c r="AL30" s="128">
        <v>852.98038399999996</v>
      </c>
      <c r="AM30" s="128">
        <v>2167.1966699999998</v>
      </c>
      <c r="AN30" s="128">
        <v>0</v>
      </c>
      <c r="AO30" s="128">
        <v>483.40266700000001</v>
      </c>
      <c r="AP30" s="128">
        <f t="shared" si="7"/>
        <v>3503.5797209999996</v>
      </c>
      <c r="AQ30" s="128">
        <f t="shared" si="8"/>
        <v>8753.8126809999994</v>
      </c>
    </row>
    <row r="31" spans="2:43" x14ac:dyDescent="0.2">
      <c r="B31" s="18">
        <v>4106</v>
      </c>
      <c r="C31" s="127" t="s">
        <v>115</v>
      </c>
      <c r="D31" s="133">
        <v>3129.0800170000002</v>
      </c>
      <c r="E31" s="133">
        <v>2981.1353340000001</v>
      </c>
      <c r="F31" s="133">
        <v>6110.2153510000007</v>
      </c>
      <c r="G31" s="128">
        <v>3689.0351660931997</v>
      </c>
      <c r="H31" s="128">
        <v>125.13687809000002</v>
      </c>
      <c r="I31" s="128">
        <v>165.0381814468665</v>
      </c>
      <c r="J31" s="128">
        <v>0</v>
      </c>
      <c r="K31" s="128">
        <f t="shared" si="0"/>
        <v>3979.2102256300664</v>
      </c>
      <c r="L31" s="128">
        <v>2881.1353340000001</v>
      </c>
      <c r="M31" s="128">
        <v>488.18686931001349</v>
      </c>
      <c r="N31" s="128">
        <v>0</v>
      </c>
      <c r="O31" s="128">
        <v>469.618562</v>
      </c>
      <c r="P31" s="128">
        <f t="shared" si="1"/>
        <v>3838.9407653100138</v>
      </c>
      <c r="Q31" s="128">
        <f t="shared" si="2"/>
        <v>7818.1509909400802</v>
      </c>
      <c r="R31" s="128">
        <v>3829.21849954258</v>
      </c>
      <c r="S31" s="128">
        <v>129.89207945742004</v>
      </c>
      <c r="T31" s="128">
        <v>152.56688199999999</v>
      </c>
      <c r="U31" s="128">
        <v>422.074613</v>
      </c>
      <c r="V31" s="128"/>
      <c r="W31" s="128">
        <f t="shared" si="3"/>
        <v>4533.752074</v>
      </c>
      <c r="X31" s="128">
        <v>2386.7462930000002</v>
      </c>
      <c r="Y31" s="128">
        <v>724.02868999999998</v>
      </c>
      <c r="Z31" s="128">
        <v>0</v>
      </c>
      <c r="AA31" s="128">
        <v>273.82698199999999</v>
      </c>
      <c r="AB31" s="128">
        <f t="shared" si="4"/>
        <v>3384.6019650000003</v>
      </c>
      <c r="AC31" s="128">
        <f t="shared" si="5"/>
        <v>7918.3540389999998</v>
      </c>
      <c r="AD31" s="128">
        <v>3923.3511692631155</v>
      </c>
      <c r="AE31" s="128">
        <v>131.9833419366845</v>
      </c>
      <c r="AF31" s="128">
        <v>155.0232088002</v>
      </c>
      <c r="AG31" s="128">
        <v>185.025485</v>
      </c>
      <c r="AH31" s="129">
        <v>310.80006700000001</v>
      </c>
      <c r="AI31" s="128"/>
      <c r="AJ31" s="128">
        <v>0.17555999999999999</v>
      </c>
      <c r="AK31" s="128">
        <f t="shared" si="6"/>
        <v>4706.3588319999999</v>
      </c>
      <c r="AL31" s="128">
        <v>2487.4527560000001</v>
      </c>
      <c r="AM31" s="128">
        <v>1718.8002320000001</v>
      </c>
      <c r="AN31" s="128">
        <v>0</v>
      </c>
      <c r="AO31" s="128">
        <v>325.05093099999999</v>
      </c>
      <c r="AP31" s="128">
        <f t="shared" si="7"/>
        <v>4531.303919</v>
      </c>
      <c r="AQ31" s="128">
        <f t="shared" si="8"/>
        <v>9237.6627509999998</v>
      </c>
    </row>
    <row r="32" spans="2:43" x14ac:dyDescent="0.2">
      <c r="B32" s="18">
        <v>4107</v>
      </c>
      <c r="C32" s="127" t="s">
        <v>118</v>
      </c>
      <c r="D32" s="133">
        <v>3217.7501219999999</v>
      </c>
      <c r="E32" s="133">
        <v>0</v>
      </c>
      <c r="F32" s="133">
        <v>3217.7501219999999</v>
      </c>
      <c r="G32" s="128">
        <v>3320.0745757300001</v>
      </c>
      <c r="H32" s="128">
        <v>112.62125427000001</v>
      </c>
      <c r="I32" s="128">
        <v>335.76787866738056</v>
      </c>
      <c r="J32" s="128">
        <v>0</v>
      </c>
      <c r="K32" s="128">
        <f t="shared" si="0"/>
        <v>3768.4637086673806</v>
      </c>
      <c r="L32" s="128"/>
      <c r="M32" s="128">
        <v>681.8069629167577</v>
      </c>
      <c r="N32" s="128">
        <v>944.02782999999999</v>
      </c>
      <c r="O32" s="128">
        <v>146.76956999999999</v>
      </c>
      <c r="P32" s="128">
        <f t="shared" si="1"/>
        <v>1772.6043629167575</v>
      </c>
      <c r="Q32" s="128">
        <f t="shared" si="2"/>
        <v>5541.0680715841381</v>
      </c>
      <c r="R32" s="128">
        <v>3446.2374100677398</v>
      </c>
      <c r="S32" s="128">
        <v>116.90086193226001</v>
      </c>
      <c r="T32" s="128">
        <v>137.30783299999999</v>
      </c>
      <c r="U32" s="128">
        <v>490.11166300000002</v>
      </c>
      <c r="V32" s="128"/>
      <c r="W32" s="128">
        <f t="shared" si="3"/>
        <v>4190.5577679999997</v>
      </c>
      <c r="X32" s="128"/>
      <c r="Y32" s="128">
        <v>1255.1298059999999</v>
      </c>
      <c r="Z32" s="128">
        <v>598.47803899999997</v>
      </c>
      <c r="AA32" s="128">
        <v>0</v>
      </c>
      <c r="AB32" s="128">
        <f t="shared" si="4"/>
        <v>1853.607845</v>
      </c>
      <c r="AC32" s="128">
        <f t="shared" si="5"/>
        <v>6044.1656129999992</v>
      </c>
      <c r="AD32" s="128">
        <v>3501.7218320793309</v>
      </c>
      <c r="AE32" s="128">
        <v>118.7829658093694</v>
      </c>
      <c r="AF32" s="128">
        <v>139.5184891113</v>
      </c>
      <c r="AG32" s="128">
        <v>166.52007499999999</v>
      </c>
      <c r="AH32" s="129">
        <v>272.01719200000002</v>
      </c>
      <c r="AI32" s="128"/>
      <c r="AJ32" s="128">
        <v>20.629000000000001</v>
      </c>
      <c r="AK32" s="128">
        <f t="shared" si="6"/>
        <v>4219.1895539999996</v>
      </c>
      <c r="AL32" s="128"/>
      <c r="AM32" s="128">
        <v>1676.9664780000001</v>
      </c>
      <c r="AN32" s="128">
        <v>421.33951200000001</v>
      </c>
      <c r="AO32" s="128">
        <v>0</v>
      </c>
      <c r="AP32" s="128">
        <f t="shared" si="7"/>
        <v>2098.3059899999998</v>
      </c>
      <c r="AQ32" s="128">
        <f t="shared" si="8"/>
        <v>6317.4955439999994</v>
      </c>
    </row>
    <row r="33" spans="2:43" x14ac:dyDescent="0.2">
      <c r="B33" s="18">
        <v>4108</v>
      </c>
      <c r="C33" s="127" t="s">
        <v>116</v>
      </c>
      <c r="D33" s="133">
        <v>15902.487104</v>
      </c>
      <c r="E33" s="133">
        <v>900</v>
      </c>
      <c r="F33" s="133">
        <v>16802.487104</v>
      </c>
      <c r="G33" s="128">
        <v>17307.915793907199</v>
      </c>
      <c r="H33" s="128">
        <v>587.10704864000013</v>
      </c>
      <c r="I33" s="128">
        <v>306.85492210331768</v>
      </c>
      <c r="J33" s="128">
        <v>0</v>
      </c>
      <c r="K33" s="128">
        <f t="shared" si="0"/>
        <v>18201.877764650515</v>
      </c>
      <c r="L33" s="128">
        <v>670.15870099999995</v>
      </c>
      <c r="M33" s="128">
        <v>939.32900451208468</v>
      </c>
      <c r="N33" s="128">
        <v>0</v>
      </c>
      <c r="O33" s="128">
        <v>1590.157541</v>
      </c>
      <c r="P33" s="128">
        <f t="shared" si="1"/>
        <v>3199.6452465120847</v>
      </c>
      <c r="Q33" s="128">
        <f t="shared" si="2"/>
        <v>21401.523011162601</v>
      </c>
      <c r="R33" s="128">
        <v>17965.61659151168</v>
      </c>
      <c r="S33" s="128">
        <v>609.41711648832018</v>
      </c>
      <c r="T33" s="128">
        <v>715.80091400000003</v>
      </c>
      <c r="U33" s="128">
        <v>763.92564400000003</v>
      </c>
      <c r="V33" s="128"/>
      <c r="W33" s="128">
        <f t="shared" si="3"/>
        <v>20054.760265999998</v>
      </c>
      <c r="X33" s="128">
        <v>5897.2016149999999</v>
      </c>
      <c r="Y33" s="128">
        <v>2180.7275650000001</v>
      </c>
      <c r="Z33" s="128">
        <v>0</v>
      </c>
      <c r="AA33" s="128">
        <v>981.95348999999999</v>
      </c>
      <c r="AB33" s="128">
        <f t="shared" si="4"/>
        <v>9059.8826700000009</v>
      </c>
      <c r="AC33" s="128">
        <f t="shared" si="5"/>
        <v>29114.642935999997</v>
      </c>
      <c r="AD33" s="128">
        <v>18407.26061222082</v>
      </c>
      <c r="AE33" s="128">
        <v>619.2287320637821</v>
      </c>
      <c r="AF33" s="128">
        <v>727.32530871540007</v>
      </c>
      <c r="AG33" s="128">
        <v>868.08755699999995</v>
      </c>
      <c r="AH33" s="129">
        <v>359.01043399999998</v>
      </c>
      <c r="AI33" s="128"/>
      <c r="AJ33" s="128">
        <v>337.944952</v>
      </c>
      <c r="AK33" s="128">
        <f t="shared" si="6"/>
        <v>21318.857596000002</v>
      </c>
      <c r="AL33" s="128">
        <v>6270.5463820000004</v>
      </c>
      <c r="AM33" s="128">
        <v>2544.3770380000001</v>
      </c>
      <c r="AN33" s="128">
        <v>0</v>
      </c>
      <c r="AO33" s="128">
        <v>665.97611900000004</v>
      </c>
      <c r="AP33" s="128">
        <f t="shared" si="7"/>
        <v>9480.8995390000018</v>
      </c>
      <c r="AQ33" s="128">
        <f t="shared" si="8"/>
        <v>30799.757135000003</v>
      </c>
    </row>
    <row r="34" spans="2:43" x14ac:dyDescent="0.2">
      <c r="B34" s="18">
        <v>4109</v>
      </c>
      <c r="C34" s="127" t="s">
        <v>93</v>
      </c>
      <c r="D34" s="133">
        <v>4336.7318050000003</v>
      </c>
      <c r="E34" s="133">
        <v>1200</v>
      </c>
      <c r="F34" s="133">
        <v>5536.7318050000003</v>
      </c>
      <c r="G34" s="128">
        <v>4728.4626763989991</v>
      </c>
      <c r="H34" s="128">
        <v>160.39561317500002</v>
      </c>
      <c r="I34" s="128">
        <v>171.74150947854508</v>
      </c>
      <c r="J34" s="128">
        <v>0</v>
      </c>
      <c r="K34" s="128">
        <f t="shared" si="0"/>
        <v>5060.5997990525439</v>
      </c>
      <c r="L34" s="128">
        <v>1110</v>
      </c>
      <c r="M34" s="128">
        <v>705.15893564046428</v>
      </c>
      <c r="N34" s="128">
        <v>0</v>
      </c>
      <c r="O34" s="128">
        <v>1023.3944320000001</v>
      </c>
      <c r="P34" s="128">
        <f t="shared" si="1"/>
        <v>2838.5533676404643</v>
      </c>
      <c r="Q34" s="128">
        <f t="shared" si="2"/>
        <v>7899.1531666930077</v>
      </c>
      <c r="R34" s="128">
        <v>4908.1442545243508</v>
      </c>
      <c r="S34" s="128">
        <v>166.49064647565004</v>
      </c>
      <c r="T34" s="128">
        <v>195.55433099999999</v>
      </c>
      <c r="U34" s="128">
        <v>586.76871400000005</v>
      </c>
      <c r="V34" s="128"/>
      <c r="W34" s="128">
        <f t="shared" si="3"/>
        <v>5856.9579460000014</v>
      </c>
      <c r="X34" s="128">
        <v>5007.5671609999999</v>
      </c>
      <c r="Y34" s="128">
        <v>1521.6979240000001</v>
      </c>
      <c r="Z34" s="128">
        <v>0</v>
      </c>
      <c r="AA34" s="128">
        <v>669.50743999999997</v>
      </c>
      <c r="AB34" s="128">
        <f t="shared" si="4"/>
        <v>7198.7725250000003</v>
      </c>
      <c r="AC34" s="128">
        <f t="shared" si="5"/>
        <v>13055.730471000003</v>
      </c>
      <c r="AD34" s="128">
        <v>5028.7998723869914</v>
      </c>
      <c r="AE34" s="128">
        <v>169.171145883908</v>
      </c>
      <c r="AF34" s="128">
        <v>198.70275572910001</v>
      </c>
      <c r="AG34" s="128">
        <v>237.158514</v>
      </c>
      <c r="AH34" s="129">
        <v>306.39907099999999</v>
      </c>
      <c r="AI34" s="128"/>
      <c r="AJ34" s="128">
        <v>0</v>
      </c>
      <c r="AK34" s="128">
        <f t="shared" si="6"/>
        <v>5940.2313589999994</v>
      </c>
      <c r="AL34" s="128">
        <v>5380.9119280000004</v>
      </c>
      <c r="AM34" s="128">
        <v>1746.5769949999999</v>
      </c>
      <c r="AN34" s="128">
        <v>0</v>
      </c>
      <c r="AO34" s="128">
        <v>511.47246999999999</v>
      </c>
      <c r="AP34" s="128">
        <f t="shared" si="7"/>
        <v>7638.9613930000005</v>
      </c>
      <c r="AQ34" s="128">
        <f t="shared" si="8"/>
        <v>13579.192751999999</v>
      </c>
    </row>
    <row r="35" spans="2:43" x14ac:dyDescent="0.2">
      <c r="B35" s="18">
        <v>4110</v>
      </c>
      <c r="C35" s="127" t="s">
        <v>117</v>
      </c>
      <c r="D35" s="133">
        <v>7548.9841619999997</v>
      </c>
      <c r="E35" s="133">
        <v>1000</v>
      </c>
      <c r="F35" s="133">
        <v>8548.9841620000007</v>
      </c>
      <c r="G35" s="128">
        <v>8062.4688583515999</v>
      </c>
      <c r="H35" s="128">
        <v>273.48944567000001</v>
      </c>
      <c r="I35" s="128">
        <v>378.71810565474254</v>
      </c>
      <c r="J35" s="128">
        <v>0</v>
      </c>
      <c r="K35" s="128">
        <f t="shared" si="0"/>
        <v>8714.6764096763436</v>
      </c>
      <c r="L35" s="128">
        <v>861.85220800000002</v>
      </c>
      <c r="M35" s="128">
        <v>811.8196873271778</v>
      </c>
      <c r="N35" s="128">
        <v>0</v>
      </c>
      <c r="O35" s="128">
        <v>1244.6969839999999</v>
      </c>
      <c r="P35" s="128">
        <f t="shared" si="1"/>
        <v>2918.3688793271776</v>
      </c>
      <c r="Q35" s="128">
        <f t="shared" si="2"/>
        <v>11633.045289003521</v>
      </c>
      <c r="R35" s="128">
        <v>8368.8426753945405</v>
      </c>
      <c r="S35" s="128">
        <v>283.88204460546001</v>
      </c>
      <c r="T35" s="128">
        <v>333.438332</v>
      </c>
      <c r="U35" s="128">
        <v>731.61266000000001</v>
      </c>
      <c r="V35" s="128"/>
      <c r="W35" s="128">
        <f t="shared" si="3"/>
        <v>9717.7757120000006</v>
      </c>
      <c r="X35" s="128">
        <v>861.85220800000002</v>
      </c>
      <c r="Y35" s="128">
        <v>1746.772982</v>
      </c>
      <c r="Z35" s="128">
        <v>0</v>
      </c>
      <c r="AA35" s="128">
        <v>775.42134499999997</v>
      </c>
      <c r="AB35" s="128">
        <f t="shared" si="4"/>
        <v>3384.0465349999995</v>
      </c>
      <c r="AC35" s="128">
        <f t="shared" si="5"/>
        <v>13101.822247</v>
      </c>
      <c r="AD35" s="128">
        <v>8574.5717303311922</v>
      </c>
      <c r="AE35" s="128">
        <v>288.45254552360791</v>
      </c>
      <c r="AF35" s="128">
        <v>338.80668914519998</v>
      </c>
      <c r="AG35" s="128">
        <v>404.37733600000001</v>
      </c>
      <c r="AH35" s="129">
        <v>361.95825200000002</v>
      </c>
      <c r="AJ35" s="128">
        <v>109.656367</v>
      </c>
      <c r="AK35" s="128">
        <f t="shared" si="6"/>
        <v>10077.822919999999</v>
      </c>
      <c r="AL35" s="128">
        <v>970</v>
      </c>
      <c r="AM35" s="128">
        <v>2336.9783189999998</v>
      </c>
      <c r="AN35" s="128">
        <v>0</v>
      </c>
      <c r="AO35" s="128">
        <v>542.34710700000005</v>
      </c>
      <c r="AP35" s="128">
        <f t="shared" si="7"/>
        <v>3849.3254259999999</v>
      </c>
      <c r="AQ35" s="128">
        <f t="shared" si="8"/>
        <v>13927.148345999998</v>
      </c>
    </row>
    <row r="36" spans="2:43" x14ac:dyDescent="0.2">
      <c r="B36" s="18">
        <v>4111</v>
      </c>
      <c r="C36" s="127" t="s">
        <v>113</v>
      </c>
      <c r="D36" s="133">
        <v>3155.6524420000001</v>
      </c>
      <c r="E36" s="133">
        <v>0</v>
      </c>
      <c r="F36" s="133">
        <v>3155.6524420000001</v>
      </c>
      <c r="G36" s="128">
        <v>3256.0021895300001</v>
      </c>
      <c r="H36" s="128">
        <v>110.44783547000002</v>
      </c>
      <c r="I36" s="128">
        <v>455.4401451264664</v>
      </c>
      <c r="J36" s="128">
        <v>0</v>
      </c>
      <c r="K36" s="128">
        <f t="shared" si="0"/>
        <v>3821.8901701264667</v>
      </c>
      <c r="L36" s="128"/>
      <c r="M36" s="128">
        <v>808.89713034378144</v>
      </c>
      <c r="N36" s="128">
        <v>390.70403099999999</v>
      </c>
      <c r="O36" s="128">
        <v>469.78251899999998</v>
      </c>
      <c r="P36" s="128">
        <f t="shared" si="1"/>
        <v>1669.3836803437812</v>
      </c>
      <c r="Q36" s="128">
        <f t="shared" si="2"/>
        <v>5491.2738504702484</v>
      </c>
      <c r="R36" s="128">
        <v>3379.7302727821398</v>
      </c>
      <c r="S36" s="128">
        <v>114.64485321786002</v>
      </c>
      <c r="T36" s="128">
        <v>134.65800100000001</v>
      </c>
      <c r="U36" s="128">
        <v>735.19646799999998</v>
      </c>
      <c r="V36" s="128"/>
      <c r="W36" s="128">
        <f t="shared" si="3"/>
        <v>4364.2295949999998</v>
      </c>
      <c r="X36" s="128"/>
      <c r="Y36" s="128">
        <v>1685.1945619999999</v>
      </c>
      <c r="Z36" s="128">
        <v>0</v>
      </c>
      <c r="AA36" s="128">
        <v>488.434482</v>
      </c>
      <c r="AB36" s="128">
        <f t="shared" si="4"/>
        <v>2173.6290439999998</v>
      </c>
      <c r="AC36" s="128">
        <f t="shared" si="5"/>
        <v>6537.858639</v>
      </c>
      <c r="AD36" s="128">
        <v>3434.1439298292325</v>
      </c>
      <c r="AE36" s="128">
        <v>116.49063535466756</v>
      </c>
      <c r="AF36" s="128">
        <v>136.82599481610001</v>
      </c>
      <c r="AG36" s="128">
        <v>163.30649099999999</v>
      </c>
      <c r="AH36" s="129">
        <v>294.06953700000003</v>
      </c>
      <c r="AI36" s="128"/>
      <c r="AJ36" s="128">
        <v>0</v>
      </c>
      <c r="AK36" s="128">
        <f t="shared" si="6"/>
        <v>4144.8365880000001</v>
      </c>
      <c r="AL36" s="128"/>
      <c r="AM36" s="128">
        <v>1753.3598159999999</v>
      </c>
      <c r="AN36" s="128">
        <v>363.20324499999998</v>
      </c>
      <c r="AO36" s="128">
        <v>0</v>
      </c>
      <c r="AP36" s="128">
        <f t="shared" si="7"/>
        <v>2116.5630609999998</v>
      </c>
      <c r="AQ36" s="128">
        <f t="shared" si="8"/>
        <v>6261.399649</v>
      </c>
    </row>
    <row r="37" spans="2:43" x14ac:dyDescent="0.2">
      <c r="B37" s="18">
        <v>4112</v>
      </c>
      <c r="C37" s="127" t="s">
        <v>119</v>
      </c>
      <c r="D37" s="133">
        <v>2485.7568160000001</v>
      </c>
      <c r="E37" s="133">
        <v>0</v>
      </c>
      <c r="F37" s="133">
        <v>2485.7568160000001</v>
      </c>
      <c r="G37" s="128">
        <v>2564.8038824400001</v>
      </c>
      <c r="H37" s="128">
        <v>87.001488559999999</v>
      </c>
      <c r="I37" s="128">
        <v>263.37018760758934</v>
      </c>
      <c r="J37" s="128">
        <v>0</v>
      </c>
      <c r="K37" s="128">
        <f t="shared" si="0"/>
        <v>2915.1755586075892</v>
      </c>
      <c r="L37" s="128"/>
      <c r="M37" s="128">
        <v>668.82734760131859</v>
      </c>
      <c r="N37" s="128">
        <v>0</v>
      </c>
      <c r="O37" s="128">
        <v>866.39531999999997</v>
      </c>
      <c r="P37" s="128">
        <f t="shared" si="1"/>
        <v>1535.2226676013186</v>
      </c>
      <c r="Q37" s="128">
        <f t="shared" si="2"/>
        <v>4450.3982262089075</v>
      </c>
      <c r="R37" s="128">
        <v>2662.2664298747204</v>
      </c>
      <c r="S37" s="128">
        <v>90.307545125280001</v>
      </c>
      <c r="T37" s="128">
        <v>106.072215</v>
      </c>
      <c r="U37" s="128">
        <v>653.72833200000002</v>
      </c>
      <c r="V37" s="128"/>
      <c r="W37" s="128">
        <f t="shared" si="3"/>
        <v>3512.3745220000005</v>
      </c>
      <c r="X37" s="128"/>
      <c r="Y37" s="128">
        <v>1467.2366750000001</v>
      </c>
      <c r="Z37" s="128">
        <v>0</v>
      </c>
      <c r="AA37" s="128">
        <v>413.54211600000002</v>
      </c>
      <c r="AB37" s="128">
        <f t="shared" si="4"/>
        <v>1880.7787910000002</v>
      </c>
      <c r="AC37" s="128">
        <f t="shared" si="5"/>
        <v>5393.1533130000007</v>
      </c>
      <c r="AD37" s="128">
        <v>2705.1289197367032</v>
      </c>
      <c r="AE37" s="128">
        <v>91.761496601797006</v>
      </c>
      <c r="AF37" s="128">
        <v>107.7799776615</v>
      </c>
      <c r="AG37" s="128">
        <v>128.63907900000001</v>
      </c>
      <c r="AH37" s="129">
        <v>330.04055899999997</v>
      </c>
      <c r="AI37" s="128"/>
      <c r="AJ37" s="128">
        <v>4.3073100000000002</v>
      </c>
      <c r="AK37" s="128">
        <f t="shared" si="6"/>
        <v>3367.6573420000004</v>
      </c>
      <c r="AL37" s="128"/>
      <c r="AM37" s="128">
        <v>2044.526294</v>
      </c>
      <c r="AN37" s="128">
        <v>329.92932300000001</v>
      </c>
      <c r="AO37" s="128">
        <v>0</v>
      </c>
      <c r="AP37" s="128">
        <f t="shared" si="7"/>
        <v>2374.4556170000001</v>
      </c>
      <c r="AQ37" s="128">
        <f t="shared" si="8"/>
        <v>5742.112959</v>
      </c>
    </row>
    <row r="38" spans="2:43" x14ac:dyDescent="0.2">
      <c r="B38" s="18">
        <v>9927</v>
      </c>
      <c r="C38" s="127" t="s">
        <v>334</v>
      </c>
      <c r="D38" s="133"/>
      <c r="E38" s="133"/>
      <c r="F38" s="133"/>
      <c r="G38" s="128"/>
      <c r="H38" s="128"/>
      <c r="I38" s="128"/>
      <c r="J38" s="128">
        <v>248.02370400000001</v>
      </c>
      <c r="K38" s="128">
        <f>+SUM(G38:J38)</f>
        <v>248.02370400000001</v>
      </c>
      <c r="L38" s="128"/>
      <c r="M38" s="128">
        <v>0</v>
      </c>
      <c r="N38" s="128"/>
      <c r="O38" s="128"/>
      <c r="P38" s="128">
        <f t="shared" si="1"/>
        <v>0</v>
      </c>
      <c r="Q38" s="128">
        <f t="shared" si="2"/>
        <v>248.02370400000001</v>
      </c>
      <c r="R38" s="128">
        <v>0</v>
      </c>
      <c r="S38" s="128">
        <v>0</v>
      </c>
      <c r="T38" s="128"/>
      <c r="U38" s="128">
        <v>203.29891699999999</v>
      </c>
      <c r="V38" s="128">
        <v>267.369553</v>
      </c>
      <c r="W38" s="128">
        <f>+SUM(R38:V38)</f>
        <v>470.66846999999996</v>
      </c>
      <c r="X38" s="128"/>
      <c r="Y38" s="128">
        <v>802.97600199999999</v>
      </c>
      <c r="Z38" s="128">
        <v>266.83017699999999</v>
      </c>
      <c r="AA38" s="128">
        <v>0</v>
      </c>
      <c r="AB38" s="128">
        <f t="shared" si="4"/>
        <v>1069.8061789999999</v>
      </c>
      <c r="AC38" s="128">
        <f t="shared" si="5"/>
        <v>1540.4746489999998</v>
      </c>
      <c r="AD38" s="128">
        <v>0</v>
      </c>
      <c r="AE38" s="128">
        <v>0</v>
      </c>
      <c r="AF38" s="128">
        <v>0</v>
      </c>
      <c r="AG38" s="128"/>
      <c r="AH38" s="129">
        <v>153.29670400000001</v>
      </c>
      <c r="AI38" s="128">
        <v>737.92017399999997</v>
      </c>
      <c r="AJ38" s="128">
        <v>61.709425000000003</v>
      </c>
      <c r="AK38" s="128">
        <f t="shared" si="6"/>
        <v>952.92630299999996</v>
      </c>
      <c r="AL38" s="128"/>
      <c r="AM38" s="128">
        <v>1108.381697</v>
      </c>
      <c r="AN38" s="128">
        <v>251.29470000000001</v>
      </c>
      <c r="AO38" s="128">
        <v>0</v>
      </c>
      <c r="AP38" s="128">
        <f t="shared" si="7"/>
        <v>1359.676397</v>
      </c>
      <c r="AQ38" s="128">
        <f t="shared" si="8"/>
        <v>2312.6026999999999</v>
      </c>
    </row>
    <row r="39" spans="2:43" ht="12.75" customHeight="1" x14ac:dyDescent="0.2">
      <c r="C39" s="8" t="s">
        <v>122</v>
      </c>
      <c r="D39" s="15">
        <f t="shared" ref="D39:F39" si="9">SUM(D9:D38)</f>
        <v>89903.119206999982</v>
      </c>
      <c r="E39" s="15">
        <f t="shared" si="9"/>
        <v>6944.5458410000001</v>
      </c>
      <c r="F39" s="15">
        <f t="shared" si="9"/>
        <v>96847.665047999995</v>
      </c>
      <c r="G39" s="131">
        <f>SUM(G9:G38)</f>
        <v>94965.694858130388</v>
      </c>
      <c r="H39" s="131">
        <f t="shared" ref="H39:Q39" si="10">SUM(H9:H38)</f>
        <v>3217.3182497399998</v>
      </c>
      <c r="I39" s="131">
        <f t="shared" si="10"/>
        <v>10814.333168700003</v>
      </c>
      <c r="J39" s="131">
        <f t="shared" si="10"/>
        <v>15664.654995999999</v>
      </c>
      <c r="K39" s="131">
        <f t="shared" si="10"/>
        <v>124662.00127257043</v>
      </c>
      <c r="L39" s="131">
        <f t="shared" si="10"/>
        <v>6311.4830120000006</v>
      </c>
      <c r="M39" s="131">
        <f t="shared" si="10"/>
        <v>25000.000000000007</v>
      </c>
      <c r="N39" s="131">
        <f t="shared" si="10"/>
        <v>41433.116194999995</v>
      </c>
      <c r="O39" s="131">
        <f t="shared" si="10"/>
        <v>13566.883805000003</v>
      </c>
      <c r="P39" s="131">
        <f t="shared" si="10"/>
        <v>86311.483011999997</v>
      </c>
      <c r="Q39" s="131">
        <f t="shared" si="10"/>
        <v>210973.48428457035</v>
      </c>
      <c r="R39" s="131">
        <f>SUM(R9:R38)</f>
        <v>98697.33533776988</v>
      </c>
      <c r="S39" s="131">
        <f>SUM(S9:S38)</f>
        <v>3339.5763432301205</v>
      </c>
      <c r="T39" s="131">
        <f t="shared" ref="T39:AQ39" si="11">SUM(T9:T38)</f>
        <v>3927.3205230000003</v>
      </c>
      <c r="U39" s="131">
        <f t="shared" si="11"/>
        <v>20528.493201000001</v>
      </c>
      <c r="V39" s="131">
        <f t="shared" si="11"/>
        <v>16886.498086</v>
      </c>
      <c r="W39" s="131">
        <f t="shared" si="11"/>
        <v>143379.22349099998</v>
      </c>
      <c r="X39" s="131">
        <f t="shared" si="11"/>
        <v>14941.704045999999</v>
      </c>
      <c r="Y39" s="131">
        <f t="shared" si="11"/>
        <v>54000</v>
      </c>
      <c r="Z39" s="131">
        <f t="shared" si="11"/>
        <v>20882.411033000004</v>
      </c>
      <c r="AA39" s="131">
        <f t="shared" si="11"/>
        <v>9117.5889670000015</v>
      </c>
      <c r="AB39" s="131">
        <f t="shared" si="11"/>
        <v>98941.704046000013</v>
      </c>
      <c r="AC39" s="131">
        <f t="shared" si="11"/>
        <v>242320.92753699998</v>
      </c>
      <c r="AD39" s="131">
        <f t="shared" si="11"/>
        <v>100809.62353822359</v>
      </c>
      <c r="AE39" s="131">
        <f t="shared" si="11"/>
        <v>3393.343522356125</v>
      </c>
      <c r="AF39" s="131">
        <f t="shared" si="11"/>
        <v>3990.5503834202991</v>
      </c>
      <c r="AG39" s="131">
        <f t="shared" si="11"/>
        <v>4768.3904429999993</v>
      </c>
      <c r="AH39" s="131">
        <f t="shared" si="11"/>
        <v>10155.224923999998</v>
      </c>
      <c r="AI39" s="131">
        <f t="shared" si="11"/>
        <v>17918.263118999999</v>
      </c>
      <c r="AJ39" s="131">
        <f t="shared" si="11"/>
        <v>10714.259467</v>
      </c>
      <c r="AK39" s="131">
        <f t="shared" si="11"/>
        <v>151749.65539699999</v>
      </c>
      <c r="AL39" s="131">
        <f t="shared" si="11"/>
        <v>15961.891450000003</v>
      </c>
      <c r="AM39" s="131">
        <f t="shared" si="11"/>
        <v>67499.999999999985</v>
      </c>
      <c r="AN39" s="131">
        <f t="shared" si="11"/>
        <v>13633.081711999999</v>
      </c>
      <c r="AO39" s="131">
        <f t="shared" si="11"/>
        <v>6366.9182879999989</v>
      </c>
      <c r="AP39" s="131">
        <f t="shared" si="11"/>
        <v>103461.89145</v>
      </c>
      <c r="AQ39" s="131">
        <f t="shared" si="11"/>
        <v>255211.54684699996</v>
      </c>
    </row>
    <row r="41" spans="2:43" x14ac:dyDescent="0.2">
      <c r="S41" s="124"/>
      <c r="T41" s="122"/>
      <c r="AJ41" s="121"/>
    </row>
    <row r="42" spans="2:43" x14ac:dyDescent="0.2">
      <c r="R42" s="122"/>
      <c r="AO42" s="134"/>
    </row>
    <row r="85" spans="8:8" x14ac:dyDescent="0.2">
      <c r="H85" s="2">
        <f t="shared" ref="H85:H93" si="12">+H55/1000000</f>
        <v>0</v>
      </c>
    </row>
    <row r="86" spans="8:8" x14ac:dyDescent="0.2">
      <c r="H86" s="2">
        <f t="shared" si="12"/>
        <v>0</v>
      </c>
    </row>
    <row r="87" spans="8:8" x14ac:dyDescent="0.2">
      <c r="H87" s="2">
        <f t="shared" si="12"/>
        <v>0</v>
      </c>
    </row>
    <row r="88" spans="8:8" x14ac:dyDescent="0.2">
      <c r="H88" s="2">
        <f t="shared" si="12"/>
        <v>0</v>
      </c>
    </row>
    <row r="89" spans="8:8" x14ac:dyDescent="0.2">
      <c r="H89" s="2">
        <f t="shared" si="12"/>
        <v>0</v>
      </c>
    </row>
    <row r="90" spans="8:8" x14ac:dyDescent="0.2">
      <c r="H90" s="2">
        <f t="shared" si="12"/>
        <v>0</v>
      </c>
    </row>
    <row r="91" spans="8:8" x14ac:dyDescent="0.2">
      <c r="H91" s="2">
        <f t="shared" si="12"/>
        <v>0</v>
      </c>
    </row>
    <row r="92" spans="8:8" x14ac:dyDescent="0.2">
      <c r="H92" s="2">
        <f t="shared" si="12"/>
        <v>0</v>
      </c>
    </row>
    <row r="93" spans="8:8" x14ac:dyDescent="0.2">
      <c r="H93" s="2">
        <f t="shared" si="12"/>
        <v>0</v>
      </c>
    </row>
  </sheetData>
  <mergeCells count="12">
    <mergeCell ref="B6:B8"/>
    <mergeCell ref="C6:C8"/>
    <mergeCell ref="D6:F6"/>
    <mergeCell ref="AL7:AQ7"/>
    <mergeCell ref="G6:Q6"/>
    <mergeCell ref="R6:AC6"/>
    <mergeCell ref="AD6:AQ6"/>
    <mergeCell ref="G7:K7"/>
    <mergeCell ref="L7:Q7"/>
    <mergeCell ref="R7:W7"/>
    <mergeCell ref="X7:AC7"/>
    <mergeCell ref="AD7:AK7"/>
  </mergeCells>
  <printOptions horizontalCentered="1" verticalCentered="1"/>
  <pageMargins left="0.02" right="0" top="0.09" bottom="0.02" header="0" footer="0.19685039370078741"/>
  <pageSetup paperSize="5" scale="74" orientation="landscape" blackAndWhite="1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1"/>
  <sheetViews>
    <sheetView topLeftCell="A7" workbookViewId="0">
      <selection activeCell="B17" sqref="B17"/>
    </sheetView>
  </sheetViews>
  <sheetFormatPr baseColWidth="10" defaultRowHeight="12.75" x14ac:dyDescent="0.2"/>
  <cols>
    <col min="2" max="4" width="13.5703125" customWidth="1"/>
  </cols>
  <sheetData>
    <row r="1" spans="1:5" x14ac:dyDescent="0.2">
      <c r="B1" s="25"/>
    </row>
    <row r="2" spans="1:5" x14ac:dyDescent="0.2">
      <c r="B2" s="25"/>
    </row>
    <row r="3" spans="1:5" x14ac:dyDescent="0.2">
      <c r="B3" s="25"/>
    </row>
    <row r="4" spans="1:5" x14ac:dyDescent="0.2">
      <c r="B4" s="25"/>
    </row>
    <row r="5" spans="1:5" x14ac:dyDescent="0.2">
      <c r="A5">
        <v>2006</v>
      </c>
      <c r="B5" s="25" t="e">
        <f>+UNIVERSIDADES!#REF!</f>
        <v>#REF!</v>
      </c>
    </row>
    <row r="6" spans="1:5" x14ac:dyDescent="0.2">
      <c r="A6">
        <v>2007</v>
      </c>
      <c r="B6" s="25" t="e">
        <f>+UNIVERSIDADES!#REF!</f>
        <v>#REF!</v>
      </c>
      <c r="D6">
        <v>2007</v>
      </c>
      <c r="E6" s="92" t="e">
        <f>+(B6-B5)/B5</f>
        <v>#REF!</v>
      </c>
    </row>
    <row r="7" spans="1:5" x14ac:dyDescent="0.2">
      <c r="A7">
        <v>2008</v>
      </c>
      <c r="B7" s="25" t="e">
        <f>+UNIVERSIDADES!#REF!</f>
        <v>#REF!</v>
      </c>
      <c r="D7">
        <v>2008</v>
      </c>
      <c r="E7" s="92" t="e">
        <f t="shared" ref="E7:E15" si="0">+(B7-B6)/B6</f>
        <v>#REF!</v>
      </c>
    </row>
    <row r="8" spans="1:5" x14ac:dyDescent="0.2">
      <c r="A8">
        <v>2009</v>
      </c>
      <c r="B8" s="25" t="e">
        <f>+UNIVERSIDADES!#REF!</f>
        <v>#REF!</v>
      </c>
      <c r="D8">
        <v>2009</v>
      </c>
      <c r="E8" s="92" t="e">
        <f t="shared" si="0"/>
        <v>#REF!</v>
      </c>
    </row>
    <row r="9" spans="1:5" x14ac:dyDescent="0.2">
      <c r="A9">
        <v>2010</v>
      </c>
      <c r="B9" s="25" t="e">
        <f>+UNIVERSIDADES!#REF!</f>
        <v>#REF!</v>
      </c>
      <c r="D9">
        <v>2010</v>
      </c>
      <c r="E9" s="92" t="e">
        <f t="shared" si="0"/>
        <v>#REF!</v>
      </c>
    </row>
    <row r="10" spans="1:5" x14ac:dyDescent="0.2">
      <c r="A10">
        <v>2011</v>
      </c>
      <c r="B10" s="25" t="e">
        <f>+UNIVERSIDADES!#REF!</f>
        <v>#REF!</v>
      </c>
      <c r="D10">
        <v>2011</v>
      </c>
      <c r="E10" s="92" t="e">
        <f t="shared" si="0"/>
        <v>#REF!</v>
      </c>
    </row>
    <row r="11" spans="1:5" x14ac:dyDescent="0.2">
      <c r="A11">
        <v>2012</v>
      </c>
      <c r="B11" s="25" t="e">
        <f>+UNIVERSIDADES!#REF!</f>
        <v>#REF!</v>
      </c>
      <c r="D11">
        <v>2012</v>
      </c>
      <c r="E11" s="92" t="e">
        <f t="shared" si="0"/>
        <v>#REF!</v>
      </c>
    </row>
    <row r="12" spans="1:5" x14ac:dyDescent="0.2">
      <c r="A12">
        <v>2013</v>
      </c>
      <c r="B12" s="25" t="e">
        <f>+UNIVERSIDADES!#REF!</f>
        <v>#REF!</v>
      </c>
      <c r="D12">
        <v>2013</v>
      </c>
      <c r="E12" s="92" t="e">
        <f t="shared" si="0"/>
        <v>#REF!</v>
      </c>
    </row>
    <row r="13" spans="1:5" x14ac:dyDescent="0.2">
      <c r="A13">
        <v>2014</v>
      </c>
      <c r="B13" s="25" t="e">
        <f>+UNIVERSIDADES!#REF!</f>
        <v>#REF!</v>
      </c>
      <c r="D13">
        <v>2014</v>
      </c>
      <c r="E13" s="92" t="e">
        <f t="shared" si="0"/>
        <v>#REF!</v>
      </c>
    </row>
    <row r="14" spans="1:5" x14ac:dyDescent="0.2">
      <c r="A14">
        <v>2015</v>
      </c>
      <c r="B14" s="25" t="e">
        <f>+UNIVERSIDADES!#REF!</f>
        <v>#REF!</v>
      </c>
      <c r="D14">
        <v>2015</v>
      </c>
      <c r="E14" s="92" t="e">
        <f t="shared" si="0"/>
        <v>#REF!</v>
      </c>
    </row>
    <row r="15" spans="1:5" x14ac:dyDescent="0.2">
      <c r="A15">
        <v>2016</v>
      </c>
      <c r="B15" s="25" t="e">
        <f>+UNIVERSIDADES!#REF!</f>
        <v>#REF!</v>
      </c>
      <c r="D15">
        <v>2016</v>
      </c>
      <c r="E15" s="92" t="e">
        <f t="shared" si="0"/>
        <v>#REF!</v>
      </c>
    </row>
    <row r="16" spans="1:5" x14ac:dyDescent="0.2">
      <c r="A16">
        <v>2017</v>
      </c>
      <c r="B16" s="25" t="e">
        <f>+UNIVERSIDADES!#REF!</f>
        <v>#REF!</v>
      </c>
    </row>
    <row r="17" spans="1:4" x14ac:dyDescent="0.2">
      <c r="A17">
        <v>2018</v>
      </c>
      <c r="B17" s="25" t="e">
        <f>+UNIVERSIDADES!#REF!</f>
        <v>#REF!</v>
      </c>
    </row>
    <row r="19" spans="1:4" x14ac:dyDescent="0.2">
      <c r="B19" s="25"/>
    </row>
    <row r="23" spans="1:4" x14ac:dyDescent="0.2">
      <c r="A23" t="s">
        <v>155</v>
      </c>
      <c r="B23" t="s">
        <v>13</v>
      </c>
      <c r="C23" t="s">
        <v>240</v>
      </c>
      <c r="D23" t="s">
        <v>241</v>
      </c>
    </row>
    <row r="24" spans="1:4" x14ac:dyDescent="0.2">
      <c r="A24">
        <v>2010</v>
      </c>
      <c r="B24" s="25" t="e">
        <f>+UNIVERSIDADES!#REF!</f>
        <v>#REF!</v>
      </c>
      <c r="C24" s="25" t="e">
        <f>+UNIVERSIDADES!#REF!</f>
        <v>#REF!</v>
      </c>
      <c r="D24" s="25" t="e">
        <f>SUM(B24:C24)</f>
        <v>#REF!</v>
      </c>
    </row>
    <row r="25" spans="1:4" x14ac:dyDescent="0.2">
      <c r="A25">
        <v>2011</v>
      </c>
      <c r="B25" s="25" t="e">
        <f>+UNIVERSIDADES!#REF!</f>
        <v>#REF!</v>
      </c>
      <c r="C25" s="25" t="e">
        <f>+UNIVERSIDADES!#REF!</f>
        <v>#REF!</v>
      </c>
      <c r="D25" s="25" t="e">
        <f t="shared" ref="D25:D30" si="1">SUM(B25:C25)</f>
        <v>#REF!</v>
      </c>
    </row>
    <row r="26" spans="1:4" x14ac:dyDescent="0.2">
      <c r="A26">
        <v>2012</v>
      </c>
      <c r="B26" s="25" t="e">
        <f>+UNIVERSIDADES!#REF!</f>
        <v>#REF!</v>
      </c>
      <c r="C26" s="25" t="e">
        <f>+UNIVERSIDADES!#REF!</f>
        <v>#REF!</v>
      </c>
      <c r="D26" s="25" t="e">
        <f t="shared" si="1"/>
        <v>#REF!</v>
      </c>
    </row>
    <row r="27" spans="1:4" x14ac:dyDescent="0.2">
      <c r="A27">
        <v>2013</v>
      </c>
      <c r="B27" s="25" t="e">
        <f>+UNIVERSIDADES!#REF!</f>
        <v>#REF!</v>
      </c>
      <c r="C27" s="25" t="e">
        <f>+UNIVERSIDADES!#REF!</f>
        <v>#REF!</v>
      </c>
      <c r="D27" s="25" t="e">
        <f t="shared" si="1"/>
        <v>#REF!</v>
      </c>
    </row>
    <row r="28" spans="1:4" x14ac:dyDescent="0.2">
      <c r="A28">
        <v>2014</v>
      </c>
      <c r="B28" s="25" t="e">
        <f>+UNIVERSIDADES!#REF!</f>
        <v>#REF!</v>
      </c>
      <c r="C28" s="25" t="e">
        <f>+UNIVERSIDADES!#REF!</f>
        <v>#REF!</v>
      </c>
      <c r="D28" s="25" t="e">
        <f t="shared" si="1"/>
        <v>#REF!</v>
      </c>
    </row>
    <row r="29" spans="1:4" x14ac:dyDescent="0.2">
      <c r="A29">
        <v>2015</v>
      </c>
      <c r="B29" s="25" t="e">
        <f>+UNIVERSIDADES!#REF!</f>
        <v>#REF!</v>
      </c>
      <c r="C29" s="25" t="e">
        <f>+UNIVERSIDADES!#REF!</f>
        <v>#REF!</v>
      </c>
      <c r="D29" s="25" t="e">
        <f t="shared" si="1"/>
        <v>#REF!</v>
      </c>
    </row>
    <row r="30" spans="1:4" x14ac:dyDescent="0.2">
      <c r="A30">
        <v>2016</v>
      </c>
      <c r="B30" s="25" t="e">
        <f>+UNIVERSIDADES!#REF!</f>
        <v>#REF!</v>
      </c>
      <c r="C30" s="25" t="e">
        <f>+UNIVERSIDADES!#REF!</f>
        <v>#REF!</v>
      </c>
      <c r="D30" s="25" t="e">
        <f t="shared" si="1"/>
        <v>#REF!</v>
      </c>
    </row>
    <row r="32" spans="1:4" x14ac:dyDescent="0.2">
      <c r="A32" s="94" t="s">
        <v>242</v>
      </c>
      <c r="B32" s="94" t="s">
        <v>13</v>
      </c>
      <c r="C32" s="94" t="s">
        <v>240</v>
      </c>
      <c r="D32" s="94" t="s">
        <v>241</v>
      </c>
    </row>
    <row r="33" spans="1:4" x14ac:dyDescent="0.2">
      <c r="A33" s="95">
        <v>2010</v>
      </c>
      <c r="B33" s="96" t="e">
        <f>+UNIVERSIDADES!#REF!</f>
        <v>#REF!</v>
      </c>
      <c r="C33" s="96" t="e">
        <f>+UNIVERSIDADES!#REF!</f>
        <v>#REF!</v>
      </c>
      <c r="D33" s="96" t="e">
        <f>+SUM(B33:C33)</f>
        <v>#REF!</v>
      </c>
    </row>
    <row r="34" spans="1:4" x14ac:dyDescent="0.2">
      <c r="A34" s="95">
        <v>2011</v>
      </c>
      <c r="B34" s="96" t="e">
        <f>+UNIVERSIDADES!#REF!</f>
        <v>#REF!</v>
      </c>
      <c r="C34" s="96" t="e">
        <f>+UNIVERSIDADES!#REF!</f>
        <v>#REF!</v>
      </c>
      <c r="D34" s="96" t="e">
        <f t="shared" ref="D34:D40" si="2">+SUM(B34:C34)</f>
        <v>#REF!</v>
      </c>
    </row>
    <row r="35" spans="1:4" x14ac:dyDescent="0.2">
      <c r="A35" s="95">
        <v>2012</v>
      </c>
      <c r="B35" s="96" t="e">
        <f>+UNIVERSIDADES!#REF!</f>
        <v>#REF!</v>
      </c>
      <c r="C35" s="96" t="e">
        <f>+UNIVERSIDADES!#REF!</f>
        <v>#REF!</v>
      </c>
      <c r="D35" s="96" t="e">
        <f t="shared" si="2"/>
        <v>#REF!</v>
      </c>
    </row>
    <row r="36" spans="1:4" x14ac:dyDescent="0.2">
      <c r="A36" s="95">
        <v>2013</v>
      </c>
      <c r="B36" s="96" t="e">
        <f>+UNIVERSIDADES!#REF!</f>
        <v>#REF!</v>
      </c>
      <c r="C36" s="96" t="e">
        <f>+UNIVERSIDADES!#REF!</f>
        <v>#REF!</v>
      </c>
      <c r="D36" s="96" t="e">
        <f t="shared" si="2"/>
        <v>#REF!</v>
      </c>
    </row>
    <row r="37" spans="1:4" x14ac:dyDescent="0.2">
      <c r="A37" s="95">
        <v>2014</v>
      </c>
      <c r="B37" s="96" t="e">
        <f>+UNIVERSIDADES!#REF!</f>
        <v>#REF!</v>
      </c>
      <c r="C37" s="96" t="e">
        <f>+UNIVERSIDADES!#REF!</f>
        <v>#REF!</v>
      </c>
      <c r="D37" s="96" t="e">
        <f t="shared" si="2"/>
        <v>#REF!</v>
      </c>
    </row>
    <row r="38" spans="1:4" x14ac:dyDescent="0.2">
      <c r="A38" s="95">
        <v>2015</v>
      </c>
      <c r="B38" s="96" t="e">
        <f>+UNIVERSIDADES!#REF!</f>
        <v>#REF!</v>
      </c>
      <c r="C38" s="96" t="e">
        <f>+UNIVERSIDADES!#REF!</f>
        <v>#REF!</v>
      </c>
      <c r="D38" s="96" t="e">
        <f t="shared" si="2"/>
        <v>#REF!</v>
      </c>
    </row>
    <row r="39" spans="1:4" x14ac:dyDescent="0.2">
      <c r="A39" s="95">
        <v>2016</v>
      </c>
      <c r="B39" s="96" t="e">
        <f>+UNIVERSIDADES!#REF!</f>
        <v>#REF!</v>
      </c>
      <c r="C39" s="96" t="e">
        <f>+UNIVERSIDADES!#REF!</f>
        <v>#REF!</v>
      </c>
      <c r="D39" s="96" t="e">
        <f t="shared" si="2"/>
        <v>#REF!</v>
      </c>
    </row>
    <row r="40" spans="1:4" x14ac:dyDescent="0.2">
      <c r="A40" s="95">
        <v>2017</v>
      </c>
      <c r="B40" s="96" t="e">
        <f>+UNIVERSIDADES!#REF!</f>
        <v>#REF!</v>
      </c>
      <c r="C40" s="96" t="e">
        <f>+UNIVERSIDADES!#REF!</f>
        <v>#REF!</v>
      </c>
      <c r="D40" s="96" t="e">
        <f t="shared" si="2"/>
        <v>#REF!</v>
      </c>
    </row>
    <row r="43" spans="1:4" x14ac:dyDescent="0.2">
      <c r="A43" s="94" t="s">
        <v>242</v>
      </c>
      <c r="B43" s="94" t="s">
        <v>13</v>
      </c>
      <c r="C43" s="94" t="s">
        <v>240</v>
      </c>
      <c r="D43" s="94" t="s">
        <v>241</v>
      </c>
    </row>
    <row r="44" spans="1:4" x14ac:dyDescent="0.2">
      <c r="A44" s="95">
        <v>2010</v>
      </c>
      <c r="B44" s="96" t="e">
        <f>+UNIVERSIDADES!#REF!</f>
        <v>#REF!</v>
      </c>
      <c r="C44" s="96" t="e">
        <f>+UNIVERSIDADES!#REF!</f>
        <v>#REF!</v>
      </c>
      <c r="D44" s="96" t="e">
        <f>+SUM(B44:C44)</f>
        <v>#REF!</v>
      </c>
    </row>
    <row r="45" spans="1:4" x14ac:dyDescent="0.2">
      <c r="A45" s="95">
        <v>2011</v>
      </c>
      <c r="B45" s="96" t="e">
        <f>+UNIVERSIDADES!#REF!</f>
        <v>#REF!</v>
      </c>
      <c r="C45" s="96" t="e">
        <f>+UNIVERSIDADES!#REF!</f>
        <v>#REF!</v>
      </c>
      <c r="D45" s="96" t="e">
        <f t="shared" ref="D45:D51" si="3">+SUM(B45:C45)</f>
        <v>#REF!</v>
      </c>
    </row>
    <row r="46" spans="1:4" x14ac:dyDescent="0.2">
      <c r="A46" s="95">
        <v>2012</v>
      </c>
      <c r="B46" s="96" t="e">
        <f>+UNIVERSIDADES!#REF!</f>
        <v>#REF!</v>
      </c>
      <c r="C46" s="96" t="e">
        <f>+UNIVERSIDADES!#REF!</f>
        <v>#REF!</v>
      </c>
      <c r="D46" s="96" t="e">
        <f t="shared" si="3"/>
        <v>#REF!</v>
      </c>
    </row>
    <row r="47" spans="1:4" x14ac:dyDescent="0.2">
      <c r="A47" s="95">
        <v>2013</v>
      </c>
      <c r="B47" s="96" t="e">
        <f>+UNIVERSIDADES!#REF!</f>
        <v>#REF!</v>
      </c>
      <c r="C47" s="96" t="e">
        <f>+UNIVERSIDADES!#REF!</f>
        <v>#REF!</v>
      </c>
      <c r="D47" s="96" t="e">
        <f t="shared" si="3"/>
        <v>#REF!</v>
      </c>
    </row>
    <row r="48" spans="1:4" x14ac:dyDescent="0.2">
      <c r="A48" s="95">
        <v>2014</v>
      </c>
      <c r="B48" s="96" t="e">
        <f>+UNIVERSIDADES!#REF!</f>
        <v>#REF!</v>
      </c>
      <c r="C48" s="96" t="e">
        <f>+UNIVERSIDADES!#REF!</f>
        <v>#REF!</v>
      </c>
      <c r="D48" s="96" t="e">
        <f t="shared" si="3"/>
        <v>#REF!</v>
      </c>
    </row>
    <row r="49" spans="1:4" x14ac:dyDescent="0.2">
      <c r="A49" s="95">
        <v>2015</v>
      </c>
      <c r="B49" s="96" t="e">
        <f>+UNIVERSIDADES!#REF!</f>
        <v>#REF!</v>
      </c>
      <c r="C49" s="96" t="e">
        <f>+UNIVERSIDADES!#REF!</f>
        <v>#REF!</v>
      </c>
      <c r="D49" s="96" t="e">
        <f t="shared" si="3"/>
        <v>#REF!</v>
      </c>
    </row>
    <row r="50" spans="1:4" x14ac:dyDescent="0.2">
      <c r="A50" s="95">
        <v>2016</v>
      </c>
      <c r="B50" s="96" t="e">
        <f>+UNIVERSIDADES!#REF!</f>
        <v>#REF!</v>
      </c>
      <c r="C50" s="96" t="e">
        <f>+UNIVERSIDADES!#REF!</f>
        <v>#REF!</v>
      </c>
      <c r="D50" s="96" t="e">
        <f t="shared" si="3"/>
        <v>#REF!</v>
      </c>
    </row>
    <row r="51" spans="1:4" x14ac:dyDescent="0.2">
      <c r="A51" s="95">
        <v>2017</v>
      </c>
      <c r="B51" s="96" t="e">
        <f>+UNIVERSIDADES!#REF!</f>
        <v>#REF!</v>
      </c>
      <c r="C51" s="96" t="e">
        <f>+UNIVERSIDADES!#REF!</f>
        <v>#REF!</v>
      </c>
      <c r="D51" s="96" t="e">
        <f t="shared" si="3"/>
        <v>#REF!</v>
      </c>
    </row>
  </sheetData>
  <pageMargins left="0.7" right="0.7" top="0.75" bottom="0.75" header="0.3" footer="0.3"/>
  <pageSetup paperSize="4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1"/>
  <sheetViews>
    <sheetView topLeftCell="A25" workbookViewId="0">
      <selection activeCell="B17" sqref="B17"/>
    </sheetView>
  </sheetViews>
  <sheetFormatPr baseColWidth="10" defaultColWidth="76" defaultRowHeight="12.75" x14ac:dyDescent="0.2"/>
  <cols>
    <col min="2" max="2" width="8.7109375" customWidth="1"/>
  </cols>
  <sheetData>
    <row r="1" spans="1:2" x14ac:dyDescent="0.2">
      <c r="A1" s="9" t="s">
        <v>55</v>
      </c>
      <c r="B1" s="97">
        <v>1101</v>
      </c>
    </row>
    <row r="2" spans="1:2" x14ac:dyDescent="0.2">
      <c r="A2" s="9" t="s">
        <v>56</v>
      </c>
      <c r="B2" s="97">
        <v>1110</v>
      </c>
    </row>
    <row r="3" spans="1:2" x14ac:dyDescent="0.2">
      <c r="A3" s="9" t="s">
        <v>57</v>
      </c>
      <c r="B3" s="97">
        <v>1105</v>
      </c>
    </row>
    <row r="4" spans="1:2" x14ac:dyDescent="0.2">
      <c r="A4" s="9" t="s">
        <v>58</v>
      </c>
      <c r="B4" s="97">
        <v>1112</v>
      </c>
    </row>
    <row r="5" spans="1:2" x14ac:dyDescent="0.2">
      <c r="A5" s="9" t="s">
        <v>59</v>
      </c>
      <c r="B5" s="97">
        <v>1106</v>
      </c>
    </row>
    <row r="6" spans="1:2" x14ac:dyDescent="0.2">
      <c r="A6" s="9" t="s">
        <v>60</v>
      </c>
      <c r="B6" s="97">
        <v>1113</v>
      </c>
    </row>
    <row r="7" spans="1:2" x14ac:dyDescent="0.2">
      <c r="A7" s="9" t="s">
        <v>61</v>
      </c>
      <c r="B7" s="97">
        <v>1118</v>
      </c>
    </row>
    <row r="8" spans="1:2" x14ac:dyDescent="0.2">
      <c r="A8" s="10" t="s">
        <v>62</v>
      </c>
      <c r="B8" s="97">
        <v>1119</v>
      </c>
    </row>
    <row r="9" spans="1:2" x14ac:dyDescent="0.2">
      <c r="A9" s="9" t="s">
        <v>63</v>
      </c>
      <c r="B9" s="97">
        <v>1111</v>
      </c>
    </row>
    <row r="10" spans="1:2" x14ac:dyDescent="0.2">
      <c r="A10" s="9" t="s">
        <v>64</v>
      </c>
      <c r="B10" s="97">
        <v>1120</v>
      </c>
    </row>
    <row r="11" spans="1:2" x14ac:dyDescent="0.2">
      <c r="A11" s="9" t="s">
        <v>65</v>
      </c>
      <c r="B11" s="97">
        <v>1114</v>
      </c>
    </row>
    <row r="12" spans="1:2" x14ac:dyDescent="0.2">
      <c r="A12" s="10" t="s">
        <v>66</v>
      </c>
      <c r="B12" s="97">
        <v>1115</v>
      </c>
    </row>
    <row r="13" spans="1:2" x14ac:dyDescent="0.2">
      <c r="A13" s="9" t="s">
        <v>67</v>
      </c>
      <c r="B13" s="97">
        <v>1121</v>
      </c>
    </row>
    <row r="14" spans="1:2" x14ac:dyDescent="0.2">
      <c r="A14" s="9" t="s">
        <v>68</v>
      </c>
      <c r="B14" s="97">
        <v>1122</v>
      </c>
    </row>
    <row r="15" spans="1:2" x14ac:dyDescent="0.2">
      <c r="A15" s="9" t="s">
        <v>69</v>
      </c>
      <c r="B15" s="97">
        <v>1117</v>
      </c>
    </row>
    <row r="16" spans="1:2" x14ac:dyDescent="0.2">
      <c r="A16" s="9" t="s">
        <v>70</v>
      </c>
      <c r="B16" s="97">
        <v>2102</v>
      </c>
    </row>
    <row r="17" spans="1:2" x14ac:dyDescent="0.2">
      <c r="A17" s="12" t="s">
        <v>72</v>
      </c>
      <c r="B17" s="97">
        <v>1201</v>
      </c>
    </row>
    <row r="18" spans="1:2" x14ac:dyDescent="0.2">
      <c r="A18" s="12" t="s">
        <v>73</v>
      </c>
      <c r="B18" s="97">
        <v>1205</v>
      </c>
    </row>
    <row r="19" spans="1:2" x14ac:dyDescent="0.2">
      <c r="A19" s="12" t="s">
        <v>74</v>
      </c>
      <c r="B19" s="97">
        <v>1206</v>
      </c>
    </row>
    <row r="20" spans="1:2" x14ac:dyDescent="0.2">
      <c r="A20" s="22" t="s">
        <v>75</v>
      </c>
      <c r="B20" s="97">
        <v>1212</v>
      </c>
    </row>
    <row r="21" spans="1:2" x14ac:dyDescent="0.2">
      <c r="A21" s="12" t="s">
        <v>76</v>
      </c>
      <c r="B21" s="97">
        <v>1202</v>
      </c>
    </row>
    <row r="22" spans="1:2" x14ac:dyDescent="0.2">
      <c r="A22" s="12" t="s">
        <v>77</v>
      </c>
      <c r="B22" s="97">
        <v>1208</v>
      </c>
    </row>
    <row r="23" spans="1:2" x14ac:dyDescent="0.2">
      <c r="A23" s="12" t="s">
        <v>78</v>
      </c>
      <c r="B23" s="97">
        <v>1207</v>
      </c>
    </row>
    <row r="24" spans="1:2" x14ac:dyDescent="0.2">
      <c r="A24" s="12" t="s">
        <v>79</v>
      </c>
      <c r="B24" s="97">
        <v>1203</v>
      </c>
    </row>
    <row r="25" spans="1:2" x14ac:dyDescent="0.2">
      <c r="A25" s="12" t="s">
        <v>80</v>
      </c>
      <c r="B25" s="97">
        <v>1301</v>
      </c>
    </row>
    <row r="26" spans="1:2" x14ac:dyDescent="0.2">
      <c r="A26" s="12" t="s">
        <v>81</v>
      </c>
      <c r="B26" s="97">
        <v>1204</v>
      </c>
    </row>
    <row r="27" spans="1:2" x14ac:dyDescent="0.2">
      <c r="A27" s="12" t="s">
        <v>82</v>
      </c>
      <c r="B27" s="97">
        <v>1213</v>
      </c>
    </row>
    <row r="28" spans="1:2" x14ac:dyDescent="0.2">
      <c r="A28" s="22" t="s">
        <v>243</v>
      </c>
      <c r="B28" s="97">
        <v>1209</v>
      </c>
    </row>
    <row r="29" spans="1:2" x14ac:dyDescent="0.2">
      <c r="A29" s="22" t="s">
        <v>244</v>
      </c>
      <c r="B29" s="97">
        <v>1210</v>
      </c>
    </row>
    <row r="30" spans="1:2" x14ac:dyDescent="0.2">
      <c r="A30" s="13" t="s">
        <v>85</v>
      </c>
      <c r="B30" s="97">
        <v>1217</v>
      </c>
    </row>
    <row r="31" spans="1:2" x14ac:dyDescent="0.2">
      <c r="A31" s="12" t="s">
        <v>86</v>
      </c>
      <c r="B31" s="97">
        <v>1218</v>
      </c>
    </row>
    <row r="32" spans="1:2" x14ac:dyDescent="0.2">
      <c r="A32" s="12" t="s">
        <v>87</v>
      </c>
      <c r="B32" s="97">
        <v>1214</v>
      </c>
    </row>
    <row r="33" spans="1:2" x14ac:dyDescent="0.2">
      <c r="A33" s="12" t="s">
        <v>92</v>
      </c>
      <c r="B33" s="97">
        <v>3302</v>
      </c>
    </row>
    <row r="34" spans="1:2" x14ac:dyDescent="0.2">
      <c r="A34" s="12" t="s">
        <v>93</v>
      </c>
      <c r="B34" s="97">
        <v>4109</v>
      </c>
    </row>
    <row r="35" spans="1:2" x14ac:dyDescent="0.2">
      <c r="A35" s="12" t="s">
        <v>94</v>
      </c>
      <c r="B35" s="97">
        <v>2114</v>
      </c>
    </row>
    <row r="36" spans="1:2" x14ac:dyDescent="0.2">
      <c r="A36" s="12" t="s">
        <v>95</v>
      </c>
      <c r="B36" s="97">
        <v>3201</v>
      </c>
    </row>
    <row r="37" spans="1:2" x14ac:dyDescent="0.2">
      <c r="A37" s="12" t="s">
        <v>96</v>
      </c>
      <c r="B37" s="97">
        <v>4102</v>
      </c>
    </row>
    <row r="38" spans="1:2" x14ac:dyDescent="0.2">
      <c r="A38" s="12" t="s">
        <v>97</v>
      </c>
      <c r="B38" s="97">
        <v>2208</v>
      </c>
    </row>
    <row r="39" spans="1:2" x14ac:dyDescent="0.2">
      <c r="A39" s="12" t="s">
        <v>98</v>
      </c>
      <c r="B39" s="97">
        <v>3204</v>
      </c>
    </row>
    <row r="40" spans="1:2" x14ac:dyDescent="0.2">
      <c r="A40" s="12" t="s">
        <v>99</v>
      </c>
      <c r="B40" s="97">
        <v>3301</v>
      </c>
    </row>
    <row r="41" spans="1:2" x14ac:dyDescent="0.2">
      <c r="A41" s="12" t="s">
        <v>100</v>
      </c>
      <c r="B41" s="97">
        <v>3115</v>
      </c>
    </row>
    <row r="42" spans="1:2" x14ac:dyDescent="0.2">
      <c r="A42" s="12" t="s">
        <v>101</v>
      </c>
      <c r="B42" s="97">
        <v>2110</v>
      </c>
    </row>
    <row r="43" spans="1:2" x14ac:dyDescent="0.2">
      <c r="A43" s="22" t="s">
        <v>102</v>
      </c>
      <c r="B43" s="97">
        <v>2207</v>
      </c>
    </row>
    <row r="44" spans="1:2" x14ac:dyDescent="0.2">
      <c r="A44" s="12" t="s">
        <v>103</v>
      </c>
      <c r="B44" s="97">
        <v>2206</v>
      </c>
    </row>
    <row r="45" spans="1:2" x14ac:dyDescent="0.2">
      <c r="A45" s="12" t="s">
        <v>104</v>
      </c>
      <c r="B45" s="97">
        <v>3303</v>
      </c>
    </row>
    <row r="46" spans="1:2" x14ac:dyDescent="0.2">
      <c r="A46" s="12" t="s">
        <v>105</v>
      </c>
      <c r="B46" s="97">
        <v>2301</v>
      </c>
    </row>
    <row r="47" spans="1:2" x14ac:dyDescent="0.2">
      <c r="A47" s="12" t="s">
        <v>106</v>
      </c>
      <c r="B47" s="97">
        <v>3103</v>
      </c>
    </row>
    <row r="48" spans="1:2" x14ac:dyDescent="0.2">
      <c r="A48" s="12" t="s">
        <v>107</v>
      </c>
      <c r="B48" s="97">
        <v>3117</v>
      </c>
    </row>
    <row r="49" spans="1:2" x14ac:dyDescent="0.2">
      <c r="A49" s="12" t="s">
        <v>108</v>
      </c>
      <c r="B49" s="97">
        <v>4101</v>
      </c>
    </row>
    <row r="50" spans="1:2" x14ac:dyDescent="0.2">
      <c r="A50" s="12" t="s">
        <v>109</v>
      </c>
      <c r="B50" s="97">
        <v>3107</v>
      </c>
    </row>
    <row r="51" spans="1:2" x14ac:dyDescent="0.2">
      <c r="A51" s="12" t="s">
        <v>110</v>
      </c>
      <c r="B51" s="97">
        <v>2209</v>
      </c>
    </row>
    <row r="52" spans="1:2" x14ac:dyDescent="0.2">
      <c r="A52" s="12" t="s">
        <v>111</v>
      </c>
      <c r="B52" s="97">
        <v>3104</v>
      </c>
    </row>
    <row r="53" spans="1:2" x14ac:dyDescent="0.2">
      <c r="A53" s="22" t="s">
        <v>112</v>
      </c>
      <c r="B53" s="97">
        <v>3102</v>
      </c>
    </row>
    <row r="54" spans="1:2" x14ac:dyDescent="0.2">
      <c r="A54" s="12" t="s">
        <v>113</v>
      </c>
      <c r="B54" s="97">
        <v>4111</v>
      </c>
    </row>
    <row r="55" spans="1:2" x14ac:dyDescent="0.2">
      <c r="A55" s="12" t="s">
        <v>114</v>
      </c>
      <c r="B55" s="97">
        <v>2302</v>
      </c>
    </row>
    <row r="56" spans="1:2" x14ac:dyDescent="0.2">
      <c r="A56" s="12" t="s">
        <v>115</v>
      </c>
      <c r="B56" s="97">
        <v>4106</v>
      </c>
    </row>
    <row r="57" spans="1:2" x14ac:dyDescent="0.2">
      <c r="A57" s="12" t="s">
        <v>116</v>
      </c>
      <c r="B57" s="97">
        <v>4108</v>
      </c>
    </row>
    <row r="58" spans="1:2" x14ac:dyDescent="0.2">
      <c r="A58" s="12" t="s">
        <v>117</v>
      </c>
      <c r="B58" s="97">
        <v>4110</v>
      </c>
    </row>
    <row r="59" spans="1:2" x14ac:dyDescent="0.2">
      <c r="A59" s="12" t="s">
        <v>118</v>
      </c>
      <c r="B59" s="97">
        <v>4107</v>
      </c>
    </row>
    <row r="60" spans="1:2" x14ac:dyDescent="0.2">
      <c r="A60" s="12" t="s">
        <v>119</v>
      </c>
      <c r="B60" s="97">
        <v>4112</v>
      </c>
    </row>
    <row r="61" spans="1:2" x14ac:dyDescent="0.2">
      <c r="A61" s="12" t="s">
        <v>120</v>
      </c>
      <c r="B61" s="97">
        <v>2211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R24"/>
  <sheetViews>
    <sheetView zoomScale="80" zoomScaleNormal="80" workbookViewId="0">
      <selection activeCell="B17" sqref="B17"/>
    </sheetView>
  </sheetViews>
  <sheetFormatPr baseColWidth="10" defaultRowHeight="12.75" x14ac:dyDescent="0.2"/>
  <cols>
    <col min="1" max="1" width="4.5703125" customWidth="1"/>
  </cols>
  <sheetData>
    <row r="2" spans="2:18" x14ac:dyDescent="0.2">
      <c r="B2" t="s">
        <v>247</v>
      </c>
      <c r="E2" t="s">
        <v>246</v>
      </c>
      <c r="H2" t="s">
        <v>250</v>
      </c>
      <c r="K2" t="s">
        <v>248</v>
      </c>
      <c r="N2" t="s">
        <v>251</v>
      </c>
      <c r="Q2" t="s">
        <v>252</v>
      </c>
    </row>
    <row r="3" spans="2:18" x14ac:dyDescent="0.2">
      <c r="B3" s="99" t="s">
        <v>242</v>
      </c>
      <c r="C3" s="99" t="s">
        <v>249</v>
      </c>
      <c r="E3" s="99" t="s">
        <v>242</v>
      </c>
      <c r="F3" s="99" t="s">
        <v>249</v>
      </c>
      <c r="H3" s="99" t="s">
        <v>242</v>
      </c>
      <c r="I3" s="99" t="s">
        <v>249</v>
      </c>
      <c r="K3" s="99" t="s">
        <v>242</v>
      </c>
      <c r="L3" s="99" t="s">
        <v>249</v>
      </c>
      <c r="N3" s="99" t="s">
        <v>242</v>
      </c>
      <c r="O3" s="99" t="s">
        <v>249</v>
      </c>
      <c r="Q3" s="99" t="s">
        <v>242</v>
      </c>
      <c r="R3" s="99" t="s">
        <v>249</v>
      </c>
    </row>
    <row r="4" spans="2:18" x14ac:dyDescent="0.2">
      <c r="B4" s="95">
        <v>2010</v>
      </c>
      <c r="C4" s="96">
        <v>1838259</v>
      </c>
      <c r="E4" s="95">
        <v>2010</v>
      </c>
      <c r="F4" s="96">
        <v>2148</v>
      </c>
      <c r="G4" s="98"/>
      <c r="H4" s="95">
        <v>2010</v>
      </c>
      <c r="I4" s="96">
        <v>211883.19662500001</v>
      </c>
      <c r="J4" s="98"/>
      <c r="K4" s="95">
        <v>2010</v>
      </c>
      <c r="L4" s="96">
        <v>18000</v>
      </c>
      <c r="N4" s="95">
        <v>2010</v>
      </c>
      <c r="O4" s="96">
        <v>56789.467091999992</v>
      </c>
      <c r="Q4" s="95">
        <v>2010</v>
      </c>
      <c r="R4" s="96">
        <v>111835</v>
      </c>
    </row>
    <row r="5" spans="2:18" x14ac:dyDescent="0.2">
      <c r="B5" s="95">
        <v>2011</v>
      </c>
      <c r="C5" s="96">
        <v>1878526.3074420004</v>
      </c>
      <c r="E5" s="95">
        <v>2011</v>
      </c>
      <c r="F5" s="96">
        <v>16849</v>
      </c>
      <c r="G5" s="98"/>
      <c r="H5" s="95">
        <v>2011</v>
      </c>
      <c r="I5" s="96">
        <v>218239.69252299995</v>
      </c>
      <c r="J5" s="98"/>
      <c r="K5" s="95">
        <v>2011</v>
      </c>
      <c r="L5" s="96">
        <v>26819</v>
      </c>
      <c r="N5" s="95">
        <v>2011</v>
      </c>
      <c r="O5" s="96">
        <v>58993.15110499999</v>
      </c>
      <c r="Q5" s="95">
        <v>2011</v>
      </c>
      <c r="R5" s="96">
        <v>45408.567147999987</v>
      </c>
    </row>
    <row r="6" spans="2:18" x14ac:dyDescent="0.2">
      <c r="B6" s="95">
        <v>2012</v>
      </c>
      <c r="C6" s="96">
        <v>2069791</v>
      </c>
      <c r="E6" s="95">
        <v>2012</v>
      </c>
      <c r="F6" s="96">
        <v>51490</v>
      </c>
      <c r="G6" s="98"/>
      <c r="H6" s="95">
        <v>2012</v>
      </c>
      <c r="I6" s="96">
        <v>240989.852311</v>
      </c>
      <c r="J6" s="98"/>
      <c r="K6" s="95">
        <v>2012</v>
      </c>
      <c r="L6" s="96">
        <v>27624</v>
      </c>
      <c r="N6" s="95">
        <v>2012</v>
      </c>
      <c r="O6" s="96">
        <v>60762.945638999998</v>
      </c>
      <c r="Q6" s="95">
        <v>2012</v>
      </c>
      <c r="R6" s="96">
        <v>46770.824162000004</v>
      </c>
    </row>
    <row r="7" spans="2:18" x14ac:dyDescent="0.2">
      <c r="B7" s="95">
        <v>2013</v>
      </c>
      <c r="C7" s="96">
        <v>2205653</v>
      </c>
      <c r="E7" s="95">
        <v>2013</v>
      </c>
      <c r="F7" s="96">
        <v>32186</v>
      </c>
      <c r="G7" s="98"/>
      <c r="H7" s="95">
        <v>2013</v>
      </c>
      <c r="I7" s="96">
        <v>255329.11774299998</v>
      </c>
      <c r="J7" s="98"/>
      <c r="K7" s="95">
        <v>2013</v>
      </c>
      <c r="L7" s="96">
        <v>28452</v>
      </c>
      <c r="N7" s="95">
        <v>2013</v>
      </c>
      <c r="O7" s="96">
        <v>62585.934004999996</v>
      </c>
      <c r="Q7" s="95">
        <v>2013</v>
      </c>
      <c r="R7" s="96">
        <v>47758.823224000014</v>
      </c>
    </row>
    <row r="8" spans="2:18" x14ac:dyDescent="0.2">
      <c r="B8" s="95">
        <v>2014</v>
      </c>
      <c r="C8" s="96">
        <v>2274820.6113220002</v>
      </c>
      <c r="E8" s="95">
        <v>2014</v>
      </c>
      <c r="F8" s="96">
        <v>35519</v>
      </c>
      <c r="G8" s="98"/>
      <c r="H8" s="95">
        <v>2014</v>
      </c>
      <c r="I8" s="96">
        <v>274775.613319</v>
      </c>
      <c r="J8" s="98"/>
      <c r="K8" s="95">
        <v>2014</v>
      </c>
      <c r="L8" s="96">
        <v>30305</v>
      </c>
      <c r="N8" s="95">
        <v>2014</v>
      </c>
      <c r="O8" s="96">
        <v>66007.832645999995</v>
      </c>
      <c r="Q8" s="95">
        <v>2014</v>
      </c>
      <c r="R8" s="96" t="s">
        <v>253</v>
      </c>
    </row>
    <row r="9" spans="2:18" x14ac:dyDescent="0.2">
      <c r="B9" s="95">
        <v>2015</v>
      </c>
      <c r="C9" s="96">
        <v>2381923</v>
      </c>
      <c r="E9" s="95">
        <v>2015</v>
      </c>
      <c r="F9" s="96">
        <v>42308</v>
      </c>
      <c r="G9" s="98"/>
      <c r="H9" s="95">
        <v>2015</v>
      </c>
      <c r="I9" s="96">
        <v>285420</v>
      </c>
      <c r="J9" s="98"/>
      <c r="K9" s="95">
        <v>2015</v>
      </c>
      <c r="L9" s="96">
        <v>31214</v>
      </c>
      <c r="N9" s="95">
        <v>2015</v>
      </c>
      <c r="O9" s="96">
        <v>67988.067624999996</v>
      </c>
      <c r="Q9" s="95">
        <v>2015</v>
      </c>
      <c r="R9" s="96" t="s">
        <v>253</v>
      </c>
    </row>
    <row r="10" spans="2:18" x14ac:dyDescent="0.2">
      <c r="B10" s="95">
        <v>2016</v>
      </c>
      <c r="C10" s="96">
        <v>2563926</v>
      </c>
      <c r="E10" s="95">
        <v>2016</v>
      </c>
      <c r="F10" s="96">
        <v>29314</v>
      </c>
      <c r="G10" s="98"/>
      <c r="H10" s="95">
        <v>2016</v>
      </c>
      <c r="I10" s="96">
        <v>301967.25527299993</v>
      </c>
      <c r="J10" s="98"/>
      <c r="K10" s="95">
        <v>2016</v>
      </c>
      <c r="L10" s="96">
        <v>32463</v>
      </c>
      <c r="N10" s="95">
        <v>2016</v>
      </c>
      <c r="O10" s="96">
        <v>70476.430901</v>
      </c>
      <c r="Q10" s="95">
        <v>2016</v>
      </c>
      <c r="R10" s="96" t="s">
        <v>253</v>
      </c>
    </row>
    <row r="11" spans="2:18" x14ac:dyDescent="0.2">
      <c r="B11" s="95">
        <v>2017</v>
      </c>
      <c r="C11" s="96">
        <v>2896597</v>
      </c>
      <c r="E11" s="95">
        <v>2017</v>
      </c>
      <c r="F11" s="96">
        <v>24463</v>
      </c>
      <c r="G11" s="98"/>
      <c r="H11" s="95">
        <v>2017</v>
      </c>
      <c r="I11" s="96">
        <v>327434.21517099993</v>
      </c>
      <c r="J11" s="98"/>
      <c r="K11" s="95">
        <v>2017</v>
      </c>
      <c r="L11" s="96">
        <v>34573</v>
      </c>
      <c r="N11" s="95">
        <v>2017</v>
      </c>
      <c r="O11" s="96">
        <v>83840</v>
      </c>
      <c r="Q11" s="95">
        <v>2017</v>
      </c>
      <c r="R11" s="96" t="s">
        <v>253</v>
      </c>
    </row>
    <row r="12" spans="2:18" x14ac:dyDescent="0.2">
      <c r="B12" s="101">
        <v>2018</v>
      </c>
      <c r="C12" s="96" t="e">
        <f>+UNIVERSIDADES!#REF!+UNIVERSIDADES!#REF!+UNIVERSIDADES!#REF!</f>
        <v>#REF!</v>
      </c>
      <c r="E12" s="95">
        <v>2018</v>
      </c>
      <c r="F12" s="96" t="e">
        <f>+UNIVERSIDADES!#REF!</f>
        <v>#REF!</v>
      </c>
      <c r="H12" s="95">
        <v>2018</v>
      </c>
      <c r="I12" s="96" t="e">
        <f>+UNIVERSIDADES!#REF!</f>
        <v>#REF!</v>
      </c>
      <c r="K12" s="95">
        <v>2018</v>
      </c>
      <c r="L12" s="96" t="e">
        <f>+UNIVERSIDADES!#REF!</f>
        <v>#REF!</v>
      </c>
      <c r="N12" s="95">
        <v>2018</v>
      </c>
      <c r="O12" s="96">
        <v>84294.877913000004</v>
      </c>
      <c r="Q12" s="95">
        <v>2018</v>
      </c>
      <c r="R12" s="96">
        <v>70000</v>
      </c>
    </row>
    <row r="14" spans="2:18" x14ac:dyDescent="0.2">
      <c r="H14" t="s">
        <v>186</v>
      </c>
      <c r="K14" t="s">
        <v>254</v>
      </c>
    </row>
    <row r="15" spans="2:18" x14ac:dyDescent="0.2">
      <c r="B15" s="94" t="s">
        <v>242</v>
      </c>
      <c r="C15" s="94" t="s">
        <v>13</v>
      </c>
      <c r="D15" s="94" t="s">
        <v>240</v>
      </c>
      <c r="E15" s="94" t="s">
        <v>241</v>
      </c>
      <c r="H15" s="99" t="s">
        <v>242</v>
      </c>
      <c r="I15" s="99" t="s">
        <v>249</v>
      </c>
      <c r="K15" s="99" t="s">
        <v>242</v>
      </c>
      <c r="L15" s="99" t="s">
        <v>249</v>
      </c>
    </row>
    <row r="16" spans="2:18" x14ac:dyDescent="0.2">
      <c r="B16" s="95">
        <v>2010</v>
      </c>
      <c r="C16" s="96">
        <v>2070290.8838140001</v>
      </c>
      <c r="D16" s="96">
        <v>168624.48642000003</v>
      </c>
      <c r="E16" s="96">
        <f>+SUM(C16:D16)</f>
        <v>2238915.370234</v>
      </c>
      <c r="H16" s="95">
        <v>2010</v>
      </c>
      <c r="I16" s="96" t="s">
        <v>253</v>
      </c>
      <c r="K16" s="95">
        <v>2010</v>
      </c>
      <c r="L16" s="96"/>
    </row>
    <row r="17" spans="2:12" x14ac:dyDescent="0.2">
      <c r="B17" s="95">
        <v>2011</v>
      </c>
      <c r="C17" s="96">
        <v>2140434.3932799995</v>
      </c>
      <c r="D17" s="96">
        <v>104401.71825299997</v>
      </c>
      <c r="E17" s="96">
        <f t="shared" ref="E17:E23" si="0">+SUM(C17:D17)</f>
        <v>2244836.1115329997</v>
      </c>
      <c r="H17" s="95">
        <v>2011</v>
      </c>
      <c r="I17" s="96" t="s">
        <v>253</v>
      </c>
      <c r="K17" s="95">
        <v>2011</v>
      </c>
      <c r="L17" s="96"/>
    </row>
    <row r="18" spans="2:12" x14ac:dyDescent="0.2">
      <c r="B18" s="95">
        <v>2012</v>
      </c>
      <c r="C18" s="96">
        <v>2389894.8747220002</v>
      </c>
      <c r="D18" s="96">
        <v>107533.76980100002</v>
      </c>
      <c r="E18" s="96">
        <f t="shared" si="0"/>
        <v>2497428.6445230003</v>
      </c>
      <c r="H18" s="95">
        <v>2012</v>
      </c>
      <c r="I18" s="96" t="s">
        <v>253</v>
      </c>
      <c r="K18" s="95">
        <v>2012</v>
      </c>
      <c r="L18" s="96"/>
    </row>
    <row r="19" spans="2:12" x14ac:dyDescent="0.2">
      <c r="B19" s="95">
        <v>2013</v>
      </c>
      <c r="C19" s="96">
        <v>2521620.229028</v>
      </c>
      <c r="D19" s="96">
        <v>309006.75176899997</v>
      </c>
      <c r="E19" s="96">
        <f t="shared" si="0"/>
        <v>2830626.9807970002</v>
      </c>
      <c r="H19" s="95">
        <v>2013</v>
      </c>
      <c r="I19" s="96">
        <v>198661.99454000001</v>
      </c>
      <c r="K19" s="95">
        <v>2013</v>
      </c>
      <c r="L19" s="96"/>
    </row>
    <row r="20" spans="2:12" x14ac:dyDescent="0.2">
      <c r="B20" s="95">
        <v>2014</v>
      </c>
      <c r="C20" s="96">
        <v>2615420.4211850008</v>
      </c>
      <c r="D20" s="96">
        <v>457725.56879599998</v>
      </c>
      <c r="E20" s="96">
        <f t="shared" si="0"/>
        <v>3073145.9899810008</v>
      </c>
      <c r="H20" s="95">
        <v>2014</v>
      </c>
      <c r="I20" s="96">
        <v>391717.73615000001</v>
      </c>
      <c r="K20" s="95">
        <v>2014</v>
      </c>
      <c r="L20" s="96"/>
    </row>
    <row r="21" spans="2:12" x14ac:dyDescent="0.2">
      <c r="B21" s="95">
        <v>2015</v>
      </c>
      <c r="C21" s="96">
        <v>2740865.458594311</v>
      </c>
      <c r="D21" s="96">
        <v>408236.76755779487</v>
      </c>
      <c r="E21" s="96">
        <f t="shared" si="0"/>
        <v>3149102.2261521057</v>
      </c>
      <c r="H21" s="95">
        <v>2015</v>
      </c>
      <c r="I21" s="96">
        <v>290249</v>
      </c>
      <c r="K21" s="95">
        <v>2015</v>
      </c>
      <c r="L21" s="96">
        <v>50000</v>
      </c>
    </row>
    <row r="22" spans="2:12" x14ac:dyDescent="0.2">
      <c r="B22" s="95">
        <v>2016</v>
      </c>
      <c r="C22" s="96">
        <v>2927670.2272002567</v>
      </c>
      <c r="D22" s="96">
        <v>440475.90462199994</v>
      </c>
      <c r="E22" s="96">
        <f t="shared" si="0"/>
        <v>3368146.1318222564</v>
      </c>
      <c r="H22" s="95">
        <v>2016</v>
      </c>
      <c r="I22" s="96">
        <v>319999.47372099996</v>
      </c>
      <c r="K22" s="95">
        <v>2016</v>
      </c>
      <c r="L22" s="96">
        <v>50000</v>
      </c>
    </row>
    <row r="23" spans="2:12" x14ac:dyDescent="0.2">
      <c r="B23" s="95">
        <v>2017</v>
      </c>
      <c r="C23" s="96">
        <v>3283067.2914110003</v>
      </c>
      <c r="D23" s="96">
        <v>371344.44050986005</v>
      </c>
      <c r="E23" s="96">
        <f t="shared" si="0"/>
        <v>3654411.7319208602</v>
      </c>
      <c r="H23" s="95">
        <v>2017</v>
      </c>
      <c r="I23" s="96">
        <v>215452.74348400001</v>
      </c>
      <c r="K23" s="95">
        <v>2017</v>
      </c>
      <c r="L23" s="96">
        <v>72052.009731860002</v>
      </c>
    </row>
    <row r="24" spans="2:12" x14ac:dyDescent="0.2">
      <c r="B24" s="95">
        <v>2018</v>
      </c>
      <c r="C24" s="96" t="e">
        <f>+UNIVERSIDADES!#REF!</f>
        <v>#REF!</v>
      </c>
      <c r="D24" s="96" t="e">
        <f>+UNIVERSIDADES!#REF!</f>
        <v>#REF!</v>
      </c>
      <c r="E24" s="96" t="e">
        <f>SUM(C24:D24)</f>
        <v>#REF!</v>
      </c>
      <c r="H24" s="95">
        <v>2018</v>
      </c>
      <c r="I24" s="95" t="s">
        <v>253</v>
      </c>
      <c r="K24" s="95">
        <v>2018</v>
      </c>
      <c r="L24" s="96" t="e">
        <f>+UNIVERSIDADES!#REF!</f>
        <v>#REF!</v>
      </c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4"/>
  <sheetViews>
    <sheetView showGridLines="0" zoomScale="85" zoomScaleNormal="85" workbookViewId="0">
      <selection activeCell="J24" sqref="J24"/>
    </sheetView>
  </sheetViews>
  <sheetFormatPr baseColWidth="10" defaultRowHeight="12.75" x14ac:dyDescent="0.2"/>
  <cols>
    <col min="1" max="1" width="45.42578125" customWidth="1"/>
    <col min="2" max="4" width="16.5703125" bestFit="1" customWidth="1"/>
    <col min="5" max="5" width="15.28515625" bestFit="1" customWidth="1"/>
  </cols>
  <sheetData>
    <row r="1" spans="1:7" ht="15.75" x14ac:dyDescent="0.2">
      <c r="A1" s="35" t="s">
        <v>4</v>
      </c>
      <c r="B1" s="35">
        <v>2015</v>
      </c>
      <c r="C1" s="35" t="s">
        <v>149</v>
      </c>
      <c r="D1" s="35">
        <v>2016</v>
      </c>
      <c r="E1" s="36" t="s">
        <v>148</v>
      </c>
      <c r="G1" t="s">
        <v>150</v>
      </c>
    </row>
    <row r="2" spans="1:7" ht="15.75" x14ac:dyDescent="0.2">
      <c r="A2" s="37" t="s">
        <v>55</v>
      </c>
      <c r="B2" s="38">
        <v>560223794720</v>
      </c>
      <c r="C2" s="39">
        <f>+B2*1.0777</f>
        <v>603753183569.74402</v>
      </c>
      <c r="D2" s="39">
        <v>598150945622</v>
      </c>
      <c r="E2" s="40">
        <f>+C2-D2</f>
        <v>5602237947.7440186</v>
      </c>
    </row>
    <row r="3" spans="1:7" ht="15.75" x14ac:dyDescent="0.2">
      <c r="A3" s="37" t="s">
        <v>56</v>
      </c>
      <c r="B3" s="38">
        <v>88394545827</v>
      </c>
      <c r="C3" s="39">
        <f t="shared" ref="C3:C33" si="0">+B3*1.0777</f>
        <v>95262802037.757904</v>
      </c>
      <c r="D3" s="39">
        <v>94378856579</v>
      </c>
      <c r="E3" s="40">
        <f t="shared" ref="E3:E33" si="1">+C3-D3</f>
        <v>883945458.75790405</v>
      </c>
    </row>
    <row r="4" spans="1:7" ht="15.75" x14ac:dyDescent="0.2">
      <c r="A4" s="37" t="s">
        <v>57</v>
      </c>
      <c r="B4" s="38">
        <v>55826802541</v>
      </c>
      <c r="C4" s="39">
        <f t="shared" si="0"/>
        <v>60164545098.435707</v>
      </c>
      <c r="D4" s="39">
        <v>59258288184</v>
      </c>
      <c r="E4" s="40">
        <f t="shared" si="1"/>
        <v>906256914.43570709</v>
      </c>
    </row>
    <row r="5" spans="1:7" ht="15.75" x14ac:dyDescent="0.2">
      <c r="A5" s="37" t="s">
        <v>58</v>
      </c>
      <c r="B5" s="38">
        <v>67889108020</v>
      </c>
      <c r="C5" s="39">
        <f t="shared" si="0"/>
        <v>73164091713.154007</v>
      </c>
      <c r="D5" s="39">
        <v>72048347222</v>
      </c>
      <c r="E5" s="40">
        <f t="shared" si="1"/>
        <v>1115744491.154007</v>
      </c>
    </row>
    <row r="6" spans="1:7" ht="15.75" x14ac:dyDescent="0.2">
      <c r="A6" s="37" t="s">
        <v>151</v>
      </c>
      <c r="B6" s="38">
        <v>106684999253</v>
      </c>
      <c r="C6" s="39">
        <f t="shared" si="0"/>
        <v>114974423694.95811</v>
      </c>
      <c r="D6" s="39">
        <v>113237999958</v>
      </c>
      <c r="E6" s="40">
        <f t="shared" si="1"/>
        <v>1736423736.9581146</v>
      </c>
    </row>
    <row r="7" spans="1:7" ht="15.75" x14ac:dyDescent="0.2">
      <c r="A7" s="37" t="s">
        <v>60</v>
      </c>
      <c r="B7" s="38">
        <v>69803354364</v>
      </c>
      <c r="C7" s="39">
        <f t="shared" si="0"/>
        <v>75227074998.082809</v>
      </c>
      <c r="D7" s="39">
        <v>74529041454</v>
      </c>
      <c r="E7" s="40">
        <f t="shared" si="1"/>
        <v>698033544.08280945</v>
      </c>
    </row>
    <row r="8" spans="1:7" ht="15.75" x14ac:dyDescent="0.2">
      <c r="A8" s="37" t="s">
        <v>61</v>
      </c>
      <c r="B8" s="38">
        <v>40218807005</v>
      </c>
      <c r="C8" s="39">
        <f t="shared" si="0"/>
        <v>43343808309.288506</v>
      </c>
      <c r="D8" s="39">
        <v>42941620239</v>
      </c>
      <c r="E8" s="40">
        <f t="shared" si="1"/>
        <v>402188070.28850555</v>
      </c>
    </row>
    <row r="9" spans="1:7" ht="15.75" x14ac:dyDescent="0.2">
      <c r="A9" s="37" t="s">
        <v>62</v>
      </c>
      <c r="B9" s="38">
        <v>26196825414</v>
      </c>
      <c r="C9" s="39">
        <f t="shared" si="0"/>
        <v>28232318748.667801</v>
      </c>
      <c r="D9" s="39">
        <v>27803580723</v>
      </c>
      <c r="E9" s="40">
        <f t="shared" si="1"/>
        <v>428738025.6678009</v>
      </c>
    </row>
    <row r="10" spans="1:7" ht="15.75" x14ac:dyDescent="0.2">
      <c r="A10" s="37" t="s">
        <v>63</v>
      </c>
      <c r="B10" s="38">
        <v>82915446008</v>
      </c>
      <c r="C10" s="39">
        <f t="shared" si="0"/>
        <v>89357976162.821609</v>
      </c>
      <c r="D10" s="39">
        <v>86730880691</v>
      </c>
      <c r="E10" s="40">
        <f t="shared" si="1"/>
        <v>2627095471.8216095</v>
      </c>
    </row>
    <row r="11" spans="1:7" ht="15.75" x14ac:dyDescent="0.2">
      <c r="A11" s="37" t="s">
        <v>64</v>
      </c>
      <c r="B11" s="38">
        <v>27192294806</v>
      </c>
      <c r="C11" s="39">
        <f t="shared" si="0"/>
        <v>29305136112.426205</v>
      </c>
      <c r="D11" s="39">
        <v>28866759409</v>
      </c>
      <c r="E11" s="40">
        <f t="shared" si="1"/>
        <v>438376703.42620468</v>
      </c>
    </row>
    <row r="12" spans="1:7" ht="15.75" x14ac:dyDescent="0.2">
      <c r="A12" s="37" t="s">
        <v>65</v>
      </c>
      <c r="B12" s="38">
        <v>46282526050</v>
      </c>
      <c r="C12" s="39">
        <f t="shared" si="0"/>
        <v>49878678324.085007</v>
      </c>
      <c r="D12" s="39">
        <v>49114101513</v>
      </c>
      <c r="E12" s="40">
        <f t="shared" si="1"/>
        <v>764576811.08500671</v>
      </c>
    </row>
    <row r="13" spans="1:7" ht="15.75" x14ac:dyDescent="0.2">
      <c r="A13" s="37" t="s">
        <v>66</v>
      </c>
      <c r="B13" s="38">
        <v>24469037217</v>
      </c>
      <c r="C13" s="39">
        <f t="shared" si="0"/>
        <v>26370281408.760902</v>
      </c>
      <c r="D13" s="39">
        <v>25973070740</v>
      </c>
      <c r="E13" s="40">
        <f t="shared" si="1"/>
        <v>397210668.7609024</v>
      </c>
    </row>
    <row r="14" spans="1:7" ht="15.75" x14ac:dyDescent="0.2">
      <c r="A14" s="37" t="s">
        <v>67</v>
      </c>
      <c r="B14" s="38">
        <v>19562162009</v>
      </c>
      <c r="C14" s="39">
        <f t="shared" si="0"/>
        <v>21082141997.0993</v>
      </c>
      <c r="D14" s="39">
        <v>20760866157</v>
      </c>
      <c r="E14" s="40">
        <f t="shared" si="1"/>
        <v>321275840.09930038</v>
      </c>
    </row>
    <row r="15" spans="1:7" ht="15.75" x14ac:dyDescent="0.2">
      <c r="A15" s="37" t="s">
        <v>68</v>
      </c>
      <c r="B15" s="38">
        <v>14745747350</v>
      </c>
      <c r="C15" s="39">
        <f t="shared" si="0"/>
        <v>15891491919.095001</v>
      </c>
      <c r="D15" s="39">
        <v>15654576064</v>
      </c>
      <c r="E15" s="40">
        <f t="shared" si="1"/>
        <v>236915855.09500122</v>
      </c>
    </row>
    <row r="16" spans="1:7" ht="15.75" x14ac:dyDescent="0.2">
      <c r="A16" s="37" t="s">
        <v>69</v>
      </c>
      <c r="B16" s="38">
        <v>15234515179</v>
      </c>
      <c r="C16" s="39">
        <f t="shared" si="0"/>
        <v>16418237008.408302</v>
      </c>
      <c r="D16" s="39">
        <v>16180704123</v>
      </c>
      <c r="E16" s="40">
        <f t="shared" si="1"/>
        <v>237532885.40830231</v>
      </c>
    </row>
    <row r="17" spans="1:5" ht="15.75" x14ac:dyDescent="0.2">
      <c r="A17" s="37" t="s">
        <v>70</v>
      </c>
      <c r="B17" s="38">
        <v>40582968310</v>
      </c>
      <c r="C17" s="39">
        <f t="shared" si="0"/>
        <v>43736264947.687004</v>
      </c>
      <c r="D17" s="39">
        <v>43069010488</v>
      </c>
      <c r="E17" s="40">
        <f t="shared" si="1"/>
        <v>667254459.68700409</v>
      </c>
    </row>
    <row r="18" spans="1:5" ht="15.75" x14ac:dyDescent="0.2">
      <c r="A18" s="37" t="s">
        <v>72</v>
      </c>
      <c r="B18" s="38">
        <v>265794922081</v>
      </c>
      <c r="C18" s="39">
        <f t="shared" si="0"/>
        <v>286447187526.69373</v>
      </c>
      <c r="D18" s="39">
        <v>282302977259</v>
      </c>
      <c r="E18" s="40">
        <f t="shared" si="1"/>
        <v>4144210267.6937256</v>
      </c>
    </row>
    <row r="19" spans="1:5" ht="15.75" x14ac:dyDescent="0.2">
      <c r="A19" s="37" t="s">
        <v>73</v>
      </c>
      <c r="B19" s="38">
        <v>69806103284</v>
      </c>
      <c r="C19" s="39">
        <f t="shared" si="0"/>
        <v>75230037509.166809</v>
      </c>
      <c r="D19" s="39">
        <v>74141637596</v>
      </c>
      <c r="E19" s="40">
        <f t="shared" si="1"/>
        <v>1088399913.1668091</v>
      </c>
    </row>
    <row r="20" spans="1:5" ht="15.75" x14ac:dyDescent="0.2">
      <c r="A20" s="37" t="s">
        <v>74</v>
      </c>
      <c r="B20" s="38">
        <v>54909211858</v>
      </c>
      <c r="C20" s="39">
        <f t="shared" si="0"/>
        <v>59175657619.366608</v>
      </c>
      <c r="D20" s="39">
        <v>58319526440</v>
      </c>
      <c r="E20" s="40">
        <f t="shared" si="1"/>
        <v>856131179.36660767</v>
      </c>
    </row>
    <row r="21" spans="1:5" ht="15.75" x14ac:dyDescent="0.2">
      <c r="A21" s="41" t="s">
        <v>75</v>
      </c>
      <c r="B21" s="38">
        <v>36158297196</v>
      </c>
      <c r="C21" s="39">
        <f t="shared" si="0"/>
        <v>38967796888.129204</v>
      </c>
      <c r="D21" s="39">
        <v>38404025443</v>
      </c>
      <c r="E21" s="40">
        <f t="shared" si="1"/>
        <v>563771445.1292038</v>
      </c>
    </row>
    <row r="22" spans="1:5" ht="15.75" x14ac:dyDescent="0.2">
      <c r="A22" s="37" t="s">
        <v>76</v>
      </c>
      <c r="B22" s="38">
        <v>100913430325</v>
      </c>
      <c r="C22" s="39">
        <f t="shared" si="0"/>
        <v>108754403861.25252</v>
      </c>
      <c r="D22" s="39">
        <v>107180986014</v>
      </c>
      <c r="E22" s="40">
        <f t="shared" si="1"/>
        <v>1573417847.2525177</v>
      </c>
    </row>
    <row r="23" spans="1:5" ht="15.75" x14ac:dyDescent="0.2">
      <c r="A23" s="37" t="s">
        <v>77</v>
      </c>
      <c r="B23" s="38">
        <v>49271589830</v>
      </c>
      <c r="C23" s="39">
        <f t="shared" si="0"/>
        <v>53099992359.791008</v>
      </c>
      <c r="D23" s="39">
        <v>52331761622</v>
      </c>
      <c r="E23" s="40">
        <f t="shared" si="1"/>
        <v>768230737.791008</v>
      </c>
    </row>
    <row r="24" spans="1:5" ht="15.75" x14ac:dyDescent="0.2">
      <c r="A24" s="37" t="s">
        <v>78</v>
      </c>
      <c r="B24" s="38">
        <v>42127791593</v>
      </c>
      <c r="C24" s="39">
        <f t="shared" si="0"/>
        <v>45401120999.776108</v>
      </c>
      <c r="D24" s="39">
        <v>44744274640</v>
      </c>
      <c r="E24" s="40">
        <f t="shared" si="1"/>
        <v>656846359.77610779</v>
      </c>
    </row>
    <row r="25" spans="1:5" ht="15.75" x14ac:dyDescent="0.2">
      <c r="A25" s="37" t="s">
        <v>79</v>
      </c>
      <c r="B25" s="38">
        <v>198182637174</v>
      </c>
      <c r="C25" s="39">
        <f t="shared" si="0"/>
        <v>213581428082.41983</v>
      </c>
      <c r="D25" s="39">
        <v>210491412242</v>
      </c>
      <c r="E25" s="40">
        <f t="shared" si="1"/>
        <v>3090015840.4198303</v>
      </c>
    </row>
    <row r="26" spans="1:5" ht="15.75" x14ac:dyDescent="0.2">
      <c r="A26" s="37" t="s">
        <v>80</v>
      </c>
      <c r="B26" s="38">
        <v>17396575687</v>
      </c>
      <c r="C26" s="39">
        <f t="shared" si="0"/>
        <v>18748289617.879902</v>
      </c>
      <c r="D26" s="39">
        <v>18477046409</v>
      </c>
      <c r="E26" s="40">
        <f t="shared" si="1"/>
        <v>271243208.87990189</v>
      </c>
    </row>
    <row r="27" spans="1:5" ht="15.75" x14ac:dyDescent="0.2">
      <c r="A27" s="37" t="s">
        <v>81</v>
      </c>
      <c r="B27" s="38">
        <v>105392867655</v>
      </c>
      <c r="C27" s="39">
        <f t="shared" si="0"/>
        <v>113581893471.79352</v>
      </c>
      <c r="D27" s="39">
        <v>111938633319</v>
      </c>
      <c r="E27" s="40">
        <f t="shared" si="1"/>
        <v>1643260152.7935181</v>
      </c>
    </row>
    <row r="28" spans="1:5" ht="15.75" x14ac:dyDescent="0.2">
      <c r="A28" s="37" t="s">
        <v>82</v>
      </c>
      <c r="B28" s="38">
        <v>47042864366</v>
      </c>
      <c r="C28" s="39">
        <f t="shared" si="0"/>
        <v>50698094927.238205</v>
      </c>
      <c r="D28" s="39">
        <v>49964613939</v>
      </c>
      <c r="E28" s="40">
        <f t="shared" si="1"/>
        <v>733480988.23820496</v>
      </c>
    </row>
    <row r="29" spans="1:5" ht="15.75" x14ac:dyDescent="0.2">
      <c r="A29" s="41" t="s">
        <v>83</v>
      </c>
      <c r="B29" s="38">
        <v>33680247668</v>
      </c>
      <c r="C29" s="39">
        <f t="shared" si="0"/>
        <v>36297202911.803604</v>
      </c>
      <c r="D29" s="39">
        <v>35772068618</v>
      </c>
      <c r="E29" s="40">
        <f t="shared" si="1"/>
        <v>525134293.80360413</v>
      </c>
    </row>
    <row r="30" spans="1:5" ht="15.75" x14ac:dyDescent="0.2">
      <c r="A30" s="41" t="s">
        <v>84</v>
      </c>
      <c r="B30" s="38">
        <v>16289678846</v>
      </c>
      <c r="C30" s="39">
        <f t="shared" si="0"/>
        <v>17555386892.334202</v>
      </c>
      <c r="D30" s="39">
        <v>17301402149</v>
      </c>
      <c r="E30" s="40">
        <f t="shared" si="1"/>
        <v>253984743.33420181</v>
      </c>
    </row>
    <row r="31" spans="1:5" ht="15.75" x14ac:dyDescent="0.2">
      <c r="A31" s="37" t="s">
        <v>85</v>
      </c>
      <c r="B31" s="38">
        <v>19341310681</v>
      </c>
      <c r="C31" s="39">
        <f t="shared" si="0"/>
        <v>20844130520.9137</v>
      </c>
      <c r="D31" s="39">
        <v>20542565473</v>
      </c>
      <c r="E31" s="40">
        <f t="shared" si="1"/>
        <v>301565047.9137001</v>
      </c>
    </row>
    <row r="32" spans="1:5" ht="15.75" x14ac:dyDescent="0.2">
      <c r="A32" s="37" t="s">
        <v>86</v>
      </c>
      <c r="B32" s="38">
        <v>23879950788</v>
      </c>
      <c r="C32" s="39">
        <f t="shared" si="0"/>
        <v>25735422964.227604</v>
      </c>
      <c r="D32" s="39">
        <v>25363092536</v>
      </c>
      <c r="E32" s="40">
        <f t="shared" si="1"/>
        <v>372330428.22760391</v>
      </c>
    </row>
    <row r="33" spans="1:5" ht="15.75" x14ac:dyDescent="0.2">
      <c r="A33" s="37" t="s">
        <v>87</v>
      </c>
      <c r="B33" s="38">
        <v>15512568728</v>
      </c>
      <c r="C33" s="39">
        <f t="shared" si="0"/>
        <v>16717895318.165602</v>
      </c>
      <c r="D33" s="39">
        <v>16476027090</v>
      </c>
      <c r="E33" s="40">
        <f t="shared" si="1"/>
        <v>241868228.16560173</v>
      </c>
    </row>
    <row r="34" spans="1:5" ht="15" x14ac:dyDescent="0.2">
      <c r="A34" s="42" t="s">
        <v>88</v>
      </c>
      <c r="B34" s="43">
        <f>SUM(B1:B33)</f>
        <v>2381922983848</v>
      </c>
      <c r="C34" s="43">
        <f t="shared" ref="C34:E34" si="2">SUM(C1:C33)</f>
        <v>2566998397521.4238</v>
      </c>
      <c r="D34" s="43">
        <f t="shared" si="2"/>
        <v>2532450701971</v>
      </c>
      <c r="E34" s="43">
        <f t="shared" si="2"/>
        <v>34547697566.424347</v>
      </c>
    </row>
  </sheetData>
  <pageMargins left="0.7" right="0.7" top="0.75" bottom="0.75" header="0.3" footer="0.3"/>
  <pageSetup paperSize="4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E197"/>
  <sheetViews>
    <sheetView showGridLines="0" workbookViewId="0">
      <selection activeCell="AW38" sqref="AW38"/>
    </sheetView>
  </sheetViews>
  <sheetFormatPr baseColWidth="10" defaultColWidth="10.42578125" defaultRowHeight="11.25" x14ac:dyDescent="0.2"/>
  <cols>
    <col min="1" max="1" width="65.42578125" style="2" customWidth="1"/>
    <col min="2" max="47" width="10.42578125" style="17" hidden="1" customWidth="1"/>
    <col min="48" max="49" width="12.5703125" style="17" bestFit="1" customWidth="1"/>
    <col min="50" max="50" width="10.42578125" style="17"/>
    <col min="51" max="51" width="10.85546875" style="17" bestFit="1" customWidth="1"/>
    <col min="52" max="52" width="13.140625" style="17" customWidth="1"/>
    <col min="53" max="53" width="10.42578125" style="17"/>
    <col min="54" max="54" width="11.7109375" style="17" bestFit="1" customWidth="1"/>
    <col min="55" max="55" width="10.85546875" style="17" bestFit="1" customWidth="1"/>
    <col min="56" max="57" width="10.42578125" style="17"/>
    <col min="58" max="16384" width="10.42578125" style="2"/>
  </cols>
  <sheetData>
    <row r="1" spans="1:57" x14ac:dyDescent="0.2">
      <c r="A1" s="1" t="s">
        <v>0</v>
      </c>
    </row>
    <row r="2" spans="1:57" x14ac:dyDescent="0.2">
      <c r="A2" s="3" t="s">
        <v>1</v>
      </c>
      <c r="AL2" s="26"/>
      <c r="AM2" s="26"/>
      <c r="AN2" s="26"/>
      <c r="AO2" s="26"/>
      <c r="AP2" s="26"/>
      <c r="AQ2" s="26"/>
      <c r="AR2" s="26"/>
      <c r="AS2" s="26"/>
      <c r="AT2" s="26"/>
      <c r="AU2" s="26"/>
    </row>
    <row r="3" spans="1:57" x14ac:dyDescent="0.2">
      <c r="A3" s="3" t="s">
        <v>2</v>
      </c>
      <c r="AL3" s="27"/>
      <c r="AM3" s="27"/>
      <c r="AN3" s="27"/>
      <c r="AO3" s="27"/>
      <c r="AP3" s="27"/>
      <c r="AQ3" s="27"/>
      <c r="AR3" s="27"/>
      <c r="AS3" s="26"/>
      <c r="AT3" s="28"/>
      <c r="AU3" s="26"/>
    </row>
    <row r="4" spans="1:57" x14ac:dyDescent="0.2">
      <c r="A4" s="3" t="s">
        <v>91</v>
      </c>
      <c r="AK4" s="29"/>
    </row>
    <row r="5" spans="1:57" x14ac:dyDescent="0.2">
      <c r="A5" s="3" t="s">
        <v>3</v>
      </c>
      <c r="L5" s="30"/>
      <c r="AK5" s="29"/>
      <c r="AL5" s="29"/>
      <c r="AM5" s="29"/>
    </row>
    <row r="6" spans="1:57" s="4" customFormat="1" ht="15" customHeight="1" x14ac:dyDescent="0.25">
      <c r="A6" s="147" t="s">
        <v>4</v>
      </c>
      <c r="B6" s="150" t="s">
        <v>5</v>
      </c>
      <c r="C6" s="150"/>
      <c r="D6" s="150"/>
      <c r="E6" s="150"/>
      <c r="F6" s="150"/>
      <c r="G6" s="150" t="s">
        <v>6</v>
      </c>
      <c r="H6" s="150"/>
      <c r="I6" s="150"/>
      <c r="J6" s="150"/>
      <c r="K6" s="150"/>
      <c r="L6" s="150" t="s">
        <v>7</v>
      </c>
      <c r="M6" s="150"/>
      <c r="N6" s="150"/>
      <c r="O6" s="150"/>
      <c r="P6" s="150"/>
      <c r="Q6" s="150" t="s">
        <v>8</v>
      </c>
      <c r="R6" s="150"/>
      <c r="S6" s="150"/>
      <c r="T6" s="150"/>
      <c r="U6" s="150"/>
      <c r="V6" s="150" t="s">
        <v>9</v>
      </c>
      <c r="W6" s="150"/>
      <c r="X6" s="150"/>
      <c r="Y6" s="150"/>
      <c r="Z6" s="150"/>
      <c r="AA6" s="150" t="s">
        <v>10</v>
      </c>
      <c r="AB6" s="150"/>
      <c r="AC6" s="150"/>
      <c r="AD6" s="150"/>
      <c r="AE6" s="150"/>
      <c r="AF6" s="150" t="s">
        <v>11</v>
      </c>
      <c r="AG6" s="150"/>
      <c r="AH6" s="150"/>
      <c r="AI6" s="150"/>
      <c r="AJ6" s="150"/>
      <c r="AK6" s="151" t="s">
        <v>12</v>
      </c>
      <c r="AL6" s="152"/>
      <c r="AM6" s="152"/>
      <c r="AN6" s="152"/>
      <c r="AO6" s="152"/>
      <c r="AP6" s="152"/>
      <c r="AQ6" s="152"/>
      <c r="AR6" s="152"/>
      <c r="AS6" s="152"/>
      <c r="AT6" s="152"/>
      <c r="AU6" s="153"/>
      <c r="AV6" s="154" t="s">
        <v>147</v>
      </c>
      <c r="AW6" s="154"/>
      <c r="AX6" s="154"/>
      <c r="AY6" s="154"/>
      <c r="AZ6" s="154"/>
      <c r="BA6" s="154"/>
      <c r="BB6" s="154"/>
      <c r="BC6" s="154"/>
      <c r="BD6" s="154"/>
      <c r="BE6" s="154"/>
    </row>
    <row r="7" spans="1:57" ht="15.75" customHeight="1" x14ac:dyDescent="0.2">
      <c r="A7" s="147"/>
      <c r="B7" s="146" t="s">
        <v>13</v>
      </c>
      <c r="C7" s="146"/>
      <c r="D7" s="148" t="s">
        <v>15</v>
      </c>
      <c r="E7" s="148" t="s">
        <v>14</v>
      </c>
      <c r="F7" s="148" t="s">
        <v>16</v>
      </c>
      <c r="G7" s="146" t="s">
        <v>13</v>
      </c>
      <c r="H7" s="146"/>
      <c r="I7" s="148" t="s">
        <v>15</v>
      </c>
      <c r="J7" s="148" t="s">
        <v>14</v>
      </c>
      <c r="K7" s="148" t="s">
        <v>17</v>
      </c>
      <c r="L7" s="146" t="s">
        <v>13</v>
      </c>
      <c r="M7" s="146"/>
      <c r="N7" s="148" t="s">
        <v>15</v>
      </c>
      <c r="O7" s="148" t="s">
        <v>14</v>
      </c>
      <c r="P7" s="148" t="s">
        <v>18</v>
      </c>
      <c r="Q7" s="149" t="s">
        <v>19</v>
      </c>
      <c r="R7" s="149"/>
      <c r="S7" s="147" t="s">
        <v>15</v>
      </c>
      <c r="T7" s="147" t="s">
        <v>14</v>
      </c>
      <c r="U7" s="148" t="s">
        <v>20</v>
      </c>
      <c r="V7" s="149" t="s">
        <v>19</v>
      </c>
      <c r="W7" s="149"/>
      <c r="X7" s="147" t="s">
        <v>15</v>
      </c>
      <c r="Y7" s="147" t="s">
        <v>14</v>
      </c>
      <c r="Z7" s="148" t="s">
        <v>21</v>
      </c>
      <c r="AA7" s="147" t="s">
        <v>19</v>
      </c>
      <c r="AB7" s="147"/>
      <c r="AC7" s="147" t="s">
        <v>15</v>
      </c>
      <c r="AD7" s="147" t="s">
        <v>14</v>
      </c>
      <c r="AE7" s="148" t="s">
        <v>22</v>
      </c>
      <c r="AF7" s="147" t="s">
        <v>19</v>
      </c>
      <c r="AG7" s="147"/>
      <c r="AH7" s="147" t="s">
        <v>15</v>
      </c>
      <c r="AI7" s="147" t="s">
        <v>14</v>
      </c>
      <c r="AJ7" s="148" t="s">
        <v>23</v>
      </c>
      <c r="AK7" s="147" t="s">
        <v>26</v>
      </c>
      <c r="AL7" s="147" t="s">
        <v>32</v>
      </c>
      <c r="AM7" s="147" t="s">
        <v>33</v>
      </c>
      <c r="AN7" s="147" t="s">
        <v>34</v>
      </c>
      <c r="AO7" s="147" t="s">
        <v>35</v>
      </c>
      <c r="AP7" s="147" t="s">
        <v>36</v>
      </c>
      <c r="AQ7" s="147" t="s">
        <v>31</v>
      </c>
      <c r="AR7" s="147" t="s">
        <v>37</v>
      </c>
      <c r="AS7" s="147" t="s">
        <v>15</v>
      </c>
      <c r="AT7" s="147" t="s">
        <v>14</v>
      </c>
      <c r="AU7" s="147" t="s">
        <v>24</v>
      </c>
      <c r="AV7" s="146" t="s">
        <v>19</v>
      </c>
      <c r="AW7" s="146"/>
      <c r="AX7" s="146"/>
      <c r="AY7" s="146"/>
      <c r="AZ7" s="146"/>
      <c r="BA7" s="146" t="s">
        <v>25</v>
      </c>
      <c r="BB7" s="146"/>
      <c r="BC7" s="146"/>
      <c r="BD7" s="146"/>
      <c r="BE7" s="146"/>
    </row>
    <row r="8" spans="1:57" ht="33.75" x14ac:dyDescent="0.2">
      <c r="A8" s="147"/>
      <c r="B8" s="45" t="s">
        <v>26</v>
      </c>
      <c r="C8" s="45" t="s">
        <v>27</v>
      </c>
      <c r="D8" s="148"/>
      <c r="E8" s="148"/>
      <c r="F8" s="148"/>
      <c r="G8" s="45" t="s">
        <v>26</v>
      </c>
      <c r="H8" s="45" t="s">
        <v>28</v>
      </c>
      <c r="I8" s="148"/>
      <c r="J8" s="148"/>
      <c r="K8" s="148"/>
      <c r="L8" s="45" t="s">
        <v>26</v>
      </c>
      <c r="M8" s="45" t="s">
        <v>29</v>
      </c>
      <c r="N8" s="148"/>
      <c r="O8" s="148"/>
      <c r="P8" s="148"/>
      <c r="Q8" s="44" t="s">
        <v>26</v>
      </c>
      <c r="R8" s="44" t="s">
        <v>30</v>
      </c>
      <c r="S8" s="147"/>
      <c r="T8" s="147"/>
      <c r="U8" s="148"/>
      <c r="V8" s="44" t="s">
        <v>26</v>
      </c>
      <c r="W8" s="44" t="s">
        <v>31</v>
      </c>
      <c r="X8" s="147"/>
      <c r="Y8" s="147"/>
      <c r="Z8" s="148"/>
      <c r="AA8" s="44" t="s">
        <v>26</v>
      </c>
      <c r="AB8" s="44" t="s">
        <v>31</v>
      </c>
      <c r="AC8" s="147"/>
      <c r="AD8" s="147"/>
      <c r="AE8" s="148"/>
      <c r="AF8" s="44" t="s">
        <v>26</v>
      </c>
      <c r="AG8" s="44" t="s">
        <v>30</v>
      </c>
      <c r="AH8" s="147"/>
      <c r="AI8" s="147"/>
      <c r="AJ8" s="148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44" t="s">
        <v>26</v>
      </c>
      <c r="AW8" s="44" t="s">
        <v>32</v>
      </c>
      <c r="AX8" s="44" t="s">
        <v>31</v>
      </c>
      <c r="AY8" s="44" t="s">
        <v>35</v>
      </c>
      <c r="AZ8" s="44" t="s">
        <v>38</v>
      </c>
      <c r="BA8" s="44" t="s">
        <v>39</v>
      </c>
      <c r="BB8" s="44" t="s">
        <v>152</v>
      </c>
      <c r="BC8" s="44" t="s">
        <v>153</v>
      </c>
      <c r="BD8" s="44" t="s">
        <v>41</v>
      </c>
      <c r="BE8" s="44" t="s">
        <v>90</v>
      </c>
    </row>
    <row r="9" spans="1:57" ht="12.75" hidden="1" customHeight="1" x14ac:dyDescent="0.2">
      <c r="A9" s="5"/>
      <c r="B9" s="6" t="s">
        <v>43</v>
      </c>
      <c r="C9" s="6" t="s">
        <v>44</v>
      </c>
      <c r="D9" s="6" t="s">
        <v>45</v>
      </c>
      <c r="E9" s="6" t="s">
        <v>46</v>
      </c>
      <c r="F9" s="7" t="s">
        <v>47</v>
      </c>
      <c r="G9" s="6" t="s">
        <v>43</v>
      </c>
      <c r="H9" s="6" t="s">
        <v>44</v>
      </c>
      <c r="I9" s="6" t="s">
        <v>45</v>
      </c>
      <c r="J9" s="6" t="s">
        <v>46</v>
      </c>
      <c r="K9" s="7" t="s">
        <v>47</v>
      </c>
      <c r="L9" s="6" t="s">
        <v>43</v>
      </c>
      <c r="M9" s="6" t="s">
        <v>44</v>
      </c>
      <c r="N9" s="6" t="s">
        <v>45</v>
      </c>
      <c r="O9" s="6" t="s">
        <v>46</v>
      </c>
      <c r="P9" s="7" t="s">
        <v>47</v>
      </c>
      <c r="Q9" s="6" t="s">
        <v>43</v>
      </c>
      <c r="R9" s="6" t="s">
        <v>44</v>
      </c>
      <c r="S9" s="6" t="s">
        <v>45</v>
      </c>
      <c r="T9" s="6" t="s">
        <v>46</v>
      </c>
      <c r="U9" s="7" t="s">
        <v>47</v>
      </c>
      <c r="V9" s="6" t="s">
        <v>43</v>
      </c>
      <c r="W9" s="6" t="s">
        <v>44</v>
      </c>
      <c r="X9" s="6" t="s">
        <v>45</v>
      </c>
      <c r="Y9" s="6" t="s">
        <v>46</v>
      </c>
      <c r="Z9" s="7" t="s">
        <v>47</v>
      </c>
      <c r="AA9" s="6" t="s">
        <v>43</v>
      </c>
      <c r="AB9" s="6" t="s">
        <v>44</v>
      </c>
      <c r="AC9" s="6" t="s">
        <v>45</v>
      </c>
      <c r="AD9" s="6" t="s">
        <v>46</v>
      </c>
      <c r="AE9" s="7" t="s">
        <v>47</v>
      </c>
      <c r="AF9" s="6" t="s">
        <v>43</v>
      </c>
      <c r="AG9" s="6" t="s">
        <v>44</v>
      </c>
      <c r="AH9" s="6" t="s">
        <v>45</v>
      </c>
      <c r="AI9" s="6" t="s">
        <v>46</v>
      </c>
      <c r="AJ9" s="7" t="s">
        <v>47</v>
      </c>
      <c r="AK9" s="6" t="s">
        <v>43</v>
      </c>
      <c r="AL9" s="6" t="s">
        <v>44</v>
      </c>
      <c r="AM9" s="6" t="s">
        <v>45</v>
      </c>
      <c r="AN9" s="6" t="s">
        <v>46</v>
      </c>
      <c r="AO9" s="6" t="s">
        <v>48</v>
      </c>
      <c r="AP9" s="6"/>
      <c r="AQ9" s="6" t="s">
        <v>49</v>
      </c>
      <c r="AR9" s="6" t="s">
        <v>50</v>
      </c>
      <c r="AS9" s="6" t="s">
        <v>51</v>
      </c>
      <c r="AT9" s="6" t="s">
        <v>52</v>
      </c>
      <c r="AU9" s="6" t="s">
        <v>53</v>
      </c>
      <c r="AV9" s="18"/>
      <c r="AW9" s="18"/>
      <c r="AX9" s="18"/>
      <c r="AY9" s="18"/>
      <c r="AZ9" s="18"/>
      <c r="BA9" s="18"/>
      <c r="BB9" s="18"/>
      <c r="BC9" s="18"/>
      <c r="BD9" s="18"/>
      <c r="BE9" s="18"/>
    </row>
    <row r="10" spans="1:57" ht="15.75" customHeight="1" x14ac:dyDescent="0.2">
      <c r="A10" s="8" t="s">
        <v>54</v>
      </c>
      <c r="B10" s="19">
        <f t="shared" ref="B10:AU10" si="0">SUM(B11:B26)</f>
        <v>689626.35200000007</v>
      </c>
      <c r="C10" s="19">
        <f t="shared" si="0"/>
        <v>2428.8310369999999</v>
      </c>
      <c r="D10" s="19">
        <f t="shared" si="0"/>
        <v>1465.1172469999999</v>
      </c>
      <c r="E10" s="19">
        <f t="shared" si="0"/>
        <v>36887.087</v>
      </c>
      <c r="F10" s="19">
        <f t="shared" si="0"/>
        <v>730407.38728400005</v>
      </c>
      <c r="G10" s="19">
        <f t="shared" si="0"/>
        <v>767515.11924600007</v>
      </c>
      <c r="H10" s="19">
        <f t="shared" si="0"/>
        <v>2804.9841550000001</v>
      </c>
      <c r="I10" s="19">
        <f t="shared" si="0"/>
        <v>1487.8571829999998</v>
      </c>
      <c r="J10" s="19">
        <f t="shared" si="0"/>
        <v>39100.312999999987</v>
      </c>
      <c r="K10" s="19">
        <f t="shared" si="0"/>
        <v>810908.27358399995</v>
      </c>
      <c r="L10" s="19">
        <f t="shared" si="0"/>
        <v>807927.67757300008</v>
      </c>
      <c r="M10" s="19">
        <f t="shared" si="0"/>
        <v>6964.5143860000007</v>
      </c>
      <c r="N10" s="19">
        <f t="shared" si="0"/>
        <v>1379.6996239999999</v>
      </c>
      <c r="O10" s="19">
        <f t="shared" si="0"/>
        <v>41236.996733</v>
      </c>
      <c r="P10" s="19">
        <f t="shared" si="0"/>
        <v>857508.88831599976</v>
      </c>
      <c r="Q10" s="19">
        <f t="shared" si="0"/>
        <v>874368.77611200023</v>
      </c>
      <c r="R10" s="19">
        <f t="shared" si="0"/>
        <v>8398.618704999999</v>
      </c>
      <c r="S10" s="19">
        <f t="shared" si="0"/>
        <v>1131.199832</v>
      </c>
      <c r="T10" s="19">
        <f t="shared" si="0"/>
        <v>42803.120459434787</v>
      </c>
      <c r="U10" s="19">
        <f t="shared" si="0"/>
        <v>926701.7151084349</v>
      </c>
      <c r="V10" s="19">
        <f t="shared" si="0"/>
        <v>939652.5060108169</v>
      </c>
      <c r="W10" s="19">
        <f t="shared" si="0"/>
        <v>11867.646949999998</v>
      </c>
      <c r="X10" s="19">
        <f t="shared" si="0"/>
        <v>966.43638299999998</v>
      </c>
      <c r="Y10" s="19">
        <f t="shared" si="0"/>
        <v>46125.974778599993</v>
      </c>
      <c r="Z10" s="19">
        <f t="shared" si="0"/>
        <v>998612.56412241689</v>
      </c>
      <c r="AA10" s="19">
        <f t="shared" si="0"/>
        <v>1002821.3661100002</v>
      </c>
      <c r="AB10" s="19">
        <f t="shared" si="0"/>
        <v>12605.853467000001</v>
      </c>
      <c r="AC10" s="19">
        <f t="shared" si="0"/>
        <v>730.48651400000006</v>
      </c>
      <c r="AD10" s="19">
        <f t="shared" si="0"/>
        <v>48270.97527499999</v>
      </c>
      <c r="AE10" s="19">
        <f t="shared" si="0"/>
        <v>1064428.6813659999</v>
      </c>
      <c r="AF10" s="19">
        <f t="shared" si="0"/>
        <v>1052263.5487612998</v>
      </c>
      <c r="AG10" s="19">
        <f t="shared" si="0"/>
        <v>14569.713974999997</v>
      </c>
      <c r="AH10" s="19">
        <f t="shared" si="0"/>
        <v>74.607748999999998</v>
      </c>
      <c r="AI10" s="19">
        <f t="shared" si="0"/>
        <v>50743.791518999999</v>
      </c>
      <c r="AJ10" s="19">
        <f t="shared" si="0"/>
        <v>1117651.6620042999</v>
      </c>
      <c r="AK10" s="19">
        <f t="shared" si="0"/>
        <v>917059.53205299983</v>
      </c>
      <c r="AL10" s="19">
        <f t="shared" si="0"/>
        <v>193639.85490600005</v>
      </c>
      <c r="AM10" s="19">
        <f t="shared" si="0"/>
        <v>15767.030504999999</v>
      </c>
      <c r="AN10" s="19">
        <f t="shared" si="0"/>
        <v>8017.040825</v>
      </c>
      <c r="AO10" s="19">
        <f t="shared" si="0"/>
        <v>8726.8681199999992</v>
      </c>
      <c r="AP10" s="19">
        <f t="shared" si="0"/>
        <v>0</v>
      </c>
      <c r="AQ10" s="19">
        <f t="shared" si="0"/>
        <v>6829.4310810000006</v>
      </c>
      <c r="AR10" s="19">
        <f t="shared" si="0"/>
        <v>1150039.75749</v>
      </c>
      <c r="AS10" s="19">
        <f t="shared" si="0"/>
        <v>0</v>
      </c>
      <c r="AT10" s="19">
        <f t="shared" si="0"/>
        <v>54085.206752999999</v>
      </c>
      <c r="AU10" s="19">
        <f t="shared" si="0"/>
        <v>1204124.9642429999</v>
      </c>
      <c r="AV10" s="19">
        <f>SUM(AV11:AV26)</f>
        <v>1368698.6491659998</v>
      </c>
      <c r="AW10" s="19">
        <f>SUM(AW11:AW26)</f>
        <v>301967.25527299993</v>
      </c>
      <c r="AX10" s="19">
        <f t="shared" ref="AX10:AY10" si="1">SUM(AX11:AX26)</f>
        <v>14339.608385</v>
      </c>
      <c r="AY10" s="19">
        <f t="shared" si="1"/>
        <v>23200.873841999997</v>
      </c>
      <c r="AZ10" s="19">
        <f t="shared" ref="AZ10:AZ44" si="2">SUM(AV10:AY10)</f>
        <v>1708206.3866659997</v>
      </c>
      <c r="BA10" s="19">
        <f>SUM(BA11:BA26)</f>
        <v>70476.430901</v>
      </c>
      <c r="BB10" s="19">
        <f>SUM(BB11:BB26)</f>
        <v>22888.794525999994</v>
      </c>
      <c r="BC10" s="19">
        <f>SUM(BC11:BC26)</f>
        <v>29123.412391000002</v>
      </c>
      <c r="BD10" s="19">
        <f t="shared" ref="BD10:BD44" si="3">SUM(BA10:BC10)</f>
        <v>122488.637818</v>
      </c>
      <c r="BE10" s="19">
        <f t="shared" ref="BE10:BE73" si="4">+BD10+AZ10</f>
        <v>1830695.0244839997</v>
      </c>
    </row>
    <row r="11" spans="1:57" ht="12.75" customHeight="1" x14ac:dyDescent="0.2">
      <c r="A11" s="9" t="s">
        <v>55</v>
      </c>
      <c r="B11" s="31">
        <v>347355.43000000005</v>
      </c>
      <c r="C11" s="31">
        <v>666.90674300000001</v>
      </c>
      <c r="D11" s="31">
        <v>1390.6549829999999</v>
      </c>
      <c r="E11" s="31">
        <v>23631.867999999999</v>
      </c>
      <c r="F11" s="31">
        <f t="shared" ref="F11:F26" si="5">+SUM(B11:E11)</f>
        <v>373044.85972600011</v>
      </c>
      <c r="G11" s="31">
        <v>383144.15646500001</v>
      </c>
      <c r="H11" s="31">
        <v>399.666518</v>
      </c>
      <c r="I11" s="31">
        <v>1417.0801409999999</v>
      </c>
      <c r="J11" s="31">
        <v>25049.78</v>
      </c>
      <c r="K11" s="31">
        <f t="shared" ref="K11:K26" si="6">+SUM(G11:J11)</f>
        <v>410010.68312399997</v>
      </c>
      <c r="L11" s="31">
        <v>399759.59997500002</v>
      </c>
      <c r="M11" s="31">
        <v>385.98271099999999</v>
      </c>
      <c r="N11" s="31">
        <v>1316.1854719999999</v>
      </c>
      <c r="O11" s="31">
        <v>26418.655420999999</v>
      </c>
      <c r="P11" s="31">
        <f t="shared" ref="P11:P26" si="7">+SUM(L11:O11)</f>
        <v>427880.42357899999</v>
      </c>
      <c r="Q11" s="31">
        <v>445134.18210300006</v>
      </c>
      <c r="R11" s="31">
        <v>436.75607500000001</v>
      </c>
      <c r="S11" s="31">
        <v>1072.2443720000001</v>
      </c>
      <c r="T11" s="31">
        <v>27422.000252173912</v>
      </c>
      <c r="U11" s="31">
        <f t="shared" ref="U11:U26" si="8">+SUM(Q11:T11)</f>
        <v>474065.18280217395</v>
      </c>
      <c r="V11" s="31">
        <v>467186.62840781687</v>
      </c>
      <c r="W11" s="31">
        <v>925.76281900000004</v>
      </c>
      <c r="X11" s="31">
        <v>916.134052</v>
      </c>
      <c r="Y11" s="31">
        <v>29134.317200000001</v>
      </c>
      <c r="Z11" s="31">
        <f t="shared" ref="Z11:Z26" si="9">+SUM(V11:Y11)</f>
        <v>498162.84247881686</v>
      </c>
      <c r="AA11" s="31">
        <v>509945.57112500002</v>
      </c>
      <c r="AB11" s="31">
        <v>632.31761400000005</v>
      </c>
      <c r="AC11" s="31">
        <v>730.48651400000006</v>
      </c>
      <c r="AD11" s="31">
        <v>30299.689888000001</v>
      </c>
      <c r="AE11" s="31">
        <f t="shared" ref="AE11:AE26" si="10">+SUM(AA11:AD11)</f>
        <v>541608.06514099997</v>
      </c>
      <c r="AF11" s="31">
        <v>534577.86447120004</v>
      </c>
      <c r="AG11" s="31">
        <v>773.33308299999999</v>
      </c>
      <c r="AH11" s="31">
        <v>74.607748999999998</v>
      </c>
      <c r="AI11" s="31">
        <v>31820.491923000001</v>
      </c>
      <c r="AJ11" s="31">
        <f t="shared" ref="AJ11:AJ26" si="11">+SUM(AF11:AI11)</f>
        <v>567246.2972262</v>
      </c>
      <c r="AK11" s="31">
        <f>428398.66592</f>
        <v>428398.66592</v>
      </c>
      <c r="AL11" s="31">
        <v>129826.97735299999</v>
      </c>
      <c r="AM11" s="31">
        <f>4096.161127</f>
        <v>4096.1611270000003</v>
      </c>
      <c r="AN11" s="31">
        <v>1777.4732550000001</v>
      </c>
      <c r="AO11" s="31">
        <v>2017.3650339999999</v>
      </c>
      <c r="AP11" s="31"/>
      <c r="AQ11" s="31">
        <v>511.35548999999997</v>
      </c>
      <c r="AR11" s="31">
        <f t="shared" ref="AR11:AR26" si="12">+SUM(AK11:AQ11)</f>
        <v>566627.99817899999</v>
      </c>
      <c r="AS11" s="31">
        <v>0</v>
      </c>
      <c r="AT11" s="31">
        <v>33949.282832999997</v>
      </c>
      <c r="AU11" s="31">
        <f t="shared" ref="AU11:AU26" si="13">+AR11+AT11</f>
        <v>600577.28101199993</v>
      </c>
      <c r="AV11" s="16">
        <v>598150.94562200003</v>
      </c>
      <c r="AW11" s="16">
        <v>209567.94885799999</v>
      </c>
      <c r="AX11" s="16">
        <v>1823.428478</v>
      </c>
      <c r="AY11" s="16">
        <v>5462.502367</v>
      </c>
      <c r="AZ11" s="16">
        <f t="shared" si="2"/>
        <v>815004.82532499998</v>
      </c>
      <c r="BA11" s="16">
        <v>42836.205394999997</v>
      </c>
      <c r="BB11" s="16">
        <v>19281.026275</v>
      </c>
      <c r="BC11" s="16">
        <v>11914.309644000001</v>
      </c>
      <c r="BD11" s="16">
        <f t="shared" si="3"/>
        <v>74031.541314000002</v>
      </c>
      <c r="BE11" s="16">
        <f t="shared" si="4"/>
        <v>889036.36663900001</v>
      </c>
    </row>
    <row r="12" spans="1:57" ht="12.75" customHeight="1" x14ac:dyDescent="0.2">
      <c r="A12" s="9" t="s">
        <v>56</v>
      </c>
      <c r="B12" s="31">
        <v>48957.984000000004</v>
      </c>
      <c r="C12" s="31">
        <v>176.11119199999999</v>
      </c>
      <c r="D12" s="31"/>
      <c r="E12" s="31">
        <v>1765.827</v>
      </c>
      <c r="F12" s="31">
        <f t="shared" si="5"/>
        <v>50899.922191999998</v>
      </c>
      <c r="G12" s="31">
        <v>54118.164556999996</v>
      </c>
      <c r="H12" s="31">
        <v>167.773225</v>
      </c>
      <c r="I12" s="31"/>
      <c r="J12" s="31">
        <v>1871.777</v>
      </c>
      <c r="K12" s="31">
        <f t="shared" si="6"/>
        <v>56157.714781999995</v>
      </c>
      <c r="L12" s="31">
        <v>60546.264335</v>
      </c>
      <c r="M12" s="31">
        <v>494.90379100000001</v>
      </c>
      <c r="N12" s="31"/>
      <c r="O12" s="31">
        <v>1974.06251</v>
      </c>
      <c r="P12" s="31">
        <f t="shared" si="7"/>
        <v>63015.230636</v>
      </c>
      <c r="Q12" s="31">
        <v>64384.383561000002</v>
      </c>
      <c r="R12" s="31">
        <v>519.93641700000001</v>
      </c>
      <c r="S12" s="31"/>
      <c r="T12" s="31">
        <v>2049.0351032608696</v>
      </c>
      <c r="U12" s="31">
        <f t="shared" si="8"/>
        <v>66953.355081260874</v>
      </c>
      <c r="V12" s="31">
        <v>67946.472164999999</v>
      </c>
      <c r="W12" s="31">
        <v>793.82141799999999</v>
      </c>
      <c r="X12" s="31"/>
      <c r="Y12" s="31">
        <v>2176.9833749999998</v>
      </c>
      <c r="Z12" s="31">
        <f t="shared" si="9"/>
        <v>70917.276958000002</v>
      </c>
      <c r="AA12" s="31">
        <v>71146.315709999995</v>
      </c>
      <c r="AB12" s="31">
        <v>746.98534800000004</v>
      </c>
      <c r="AC12" s="31"/>
      <c r="AD12" s="31">
        <v>2264.0627100000002</v>
      </c>
      <c r="AE12" s="31">
        <f t="shared" si="10"/>
        <v>74157.363767999996</v>
      </c>
      <c r="AF12" s="31">
        <v>74869.681494999997</v>
      </c>
      <c r="AG12" s="31">
        <v>773.33308299999999</v>
      </c>
      <c r="AH12" s="31"/>
      <c r="AI12" s="31">
        <v>2377.6999999999998</v>
      </c>
      <c r="AJ12" s="31">
        <f t="shared" si="11"/>
        <v>78020.714577999999</v>
      </c>
      <c r="AK12" s="31">
        <f>64734.785419</f>
        <v>64734.785419</v>
      </c>
      <c r="AL12" s="31">
        <v>13698.54039</v>
      </c>
      <c r="AM12" s="31">
        <f>1584.161661</f>
        <v>1584.1616610000001</v>
      </c>
      <c r="AN12" s="31">
        <v>835.95276899999999</v>
      </c>
      <c r="AO12" s="31">
        <v>204.773877</v>
      </c>
      <c r="AP12" s="31"/>
      <c r="AQ12" s="31">
        <v>419.202226</v>
      </c>
      <c r="AR12" s="31">
        <f t="shared" si="12"/>
        <v>81477.416341999997</v>
      </c>
      <c r="AS12" s="31"/>
      <c r="AT12" s="31">
        <v>2536.7687110000002</v>
      </c>
      <c r="AU12" s="31">
        <f t="shared" si="13"/>
        <v>84014.185052999994</v>
      </c>
      <c r="AV12" s="16">
        <v>94378.856578999999</v>
      </c>
      <c r="AW12" s="16">
        <f>22741.184044+6159.241766</f>
        <v>28900.425810000001</v>
      </c>
      <c r="AX12" s="16">
        <v>1123.7361530000001</v>
      </c>
      <c r="AY12" s="16">
        <v>583.47317999999996</v>
      </c>
      <c r="AZ12" s="16">
        <f t="shared" si="2"/>
        <v>124986.49172200001</v>
      </c>
      <c r="BA12" s="16">
        <v>3200.8660450000002</v>
      </c>
      <c r="BB12" s="16">
        <v>203.403355</v>
      </c>
      <c r="BC12" s="16">
        <v>968.514679</v>
      </c>
      <c r="BD12" s="16">
        <f t="shared" si="3"/>
        <v>4372.784079</v>
      </c>
      <c r="BE12" s="16">
        <f t="shared" si="4"/>
        <v>129359.27580100001</v>
      </c>
    </row>
    <row r="13" spans="1:57" ht="12.75" customHeight="1" x14ac:dyDescent="0.2">
      <c r="A13" s="9" t="s">
        <v>57</v>
      </c>
      <c r="B13" s="31">
        <v>27951.787</v>
      </c>
      <c r="C13" s="31">
        <v>142.112041</v>
      </c>
      <c r="D13" s="31"/>
      <c r="E13" s="31">
        <v>1196.6420000000001</v>
      </c>
      <c r="F13" s="31">
        <f t="shared" si="5"/>
        <v>29290.541041</v>
      </c>
      <c r="G13" s="31">
        <v>31009.702713000002</v>
      </c>
      <c r="H13" s="31">
        <v>228.00546299999999</v>
      </c>
      <c r="I13" s="31"/>
      <c r="J13" s="31">
        <v>1268.441</v>
      </c>
      <c r="K13" s="31">
        <f t="shared" si="6"/>
        <v>32506.149176000003</v>
      </c>
      <c r="L13" s="31">
        <v>32944.155493000006</v>
      </c>
      <c r="M13" s="31">
        <v>682.36214399999994</v>
      </c>
      <c r="N13" s="31"/>
      <c r="O13" s="31">
        <v>1337.7564870000001</v>
      </c>
      <c r="P13" s="31">
        <f t="shared" si="7"/>
        <v>34964.274124000003</v>
      </c>
      <c r="Q13" s="31">
        <v>33684.813520000003</v>
      </c>
      <c r="R13" s="31">
        <v>535.517245</v>
      </c>
      <c r="S13" s="31"/>
      <c r="T13" s="31">
        <v>1388.5626749999999</v>
      </c>
      <c r="U13" s="31">
        <f t="shared" si="8"/>
        <v>35608.893440000007</v>
      </c>
      <c r="V13" s="31">
        <v>35530.229490999998</v>
      </c>
      <c r="W13" s="31">
        <v>772.42305299999998</v>
      </c>
      <c r="X13" s="31"/>
      <c r="Y13" s="31">
        <v>1475.2689459999999</v>
      </c>
      <c r="Z13" s="31">
        <f t="shared" si="9"/>
        <v>37777.921489999993</v>
      </c>
      <c r="AA13" s="31">
        <v>36883.820441000003</v>
      </c>
      <c r="AB13" s="31">
        <v>1008.734864</v>
      </c>
      <c r="AC13" s="31"/>
      <c r="AD13" s="31">
        <v>1534.279704</v>
      </c>
      <c r="AE13" s="31">
        <f t="shared" si="10"/>
        <v>39426.835009000002</v>
      </c>
      <c r="AF13" s="31">
        <v>38728.011462000002</v>
      </c>
      <c r="AG13" s="31">
        <v>844.87074099999995</v>
      </c>
      <c r="AH13" s="31"/>
      <c r="AI13" s="31">
        <v>1661.28827</v>
      </c>
      <c r="AJ13" s="31">
        <f t="shared" si="11"/>
        <v>41234.170472999998</v>
      </c>
      <c r="AK13" s="31">
        <f>40930.797855</f>
        <v>40930.797854999997</v>
      </c>
      <c r="AL13" s="31"/>
      <c r="AM13" s="31">
        <f>1037.953232</f>
        <v>1037.9532320000001</v>
      </c>
      <c r="AN13" s="31">
        <v>545.30272400000001</v>
      </c>
      <c r="AO13" s="31">
        <v>177.47992500000001</v>
      </c>
      <c r="AP13" s="31"/>
      <c r="AQ13" s="31">
        <v>439.61116399999997</v>
      </c>
      <c r="AR13" s="31">
        <f t="shared" si="12"/>
        <v>43131.144899999999</v>
      </c>
      <c r="AS13" s="31"/>
      <c r="AT13" s="31">
        <v>1719.083455</v>
      </c>
      <c r="AU13" s="31">
        <f t="shared" si="13"/>
        <v>44850.228354999999</v>
      </c>
      <c r="AV13" s="16">
        <v>59258.288183999997</v>
      </c>
      <c r="AW13" s="16"/>
      <c r="AX13" s="16">
        <v>704.11812599999996</v>
      </c>
      <c r="AY13" s="16">
        <v>437.63926700000002</v>
      </c>
      <c r="AZ13" s="16">
        <f t="shared" si="2"/>
        <v>60400.045576999997</v>
      </c>
      <c r="BA13" s="16">
        <v>2169.1200450000001</v>
      </c>
      <c r="BB13" s="16">
        <v>356.487302</v>
      </c>
      <c r="BC13" s="16">
        <v>982.10731199999998</v>
      </c>
      <c r="BD13" s="16">
        <f t="shared" si="3"/>
        <v>3507.7146590000002</v>
      </c>
      <c r="BE13" s="16">
        <f t="shared" si="4"/>
        <v>63907.760235999995</v>
      </c>
    </row>
    <row r="14" spans="1:57" ht="12.75" customHeight="1" x14ac:dyDescent="0.2">
      <c r="A14" s="9" t="s">
        <v>58</v>
      </c>
      <c r="B14" s="31">
        <v>41709.379999999997</v>
      </c>
      <c r="C14" s="31">
        <v>178.12554399999999</v>
      </c>
      <c r="D14" s="31"/>
      <c r="E14" s="31">
        <v>1760.4069999999999</v>
      </c>
      <c r="F14" s="31">
        <f t="shared" si="5"/>
        <v>43647.912543999999</v>
      </c>
      <c r="G14" s="31">
        <v>46295.132504000001</v>
      </c>
      <c r="H14" s="31">
        <v>243.30048500000001</v>
      </c>
      <c r="I14" s="31"/>
      <c r="J14" s="31">
        <v>1866.0309999999999</v>
      </c>
      <c r="K14" s="31">
        <f t="shared" si="6"/>
        <v>48404.463989000003</v>
      </c>
      <c r="L14" s="31">
        <v>48637.168250000002</v>
      </c>
      <c r="M14" s="31">
        <v>517.44250399999999</v>
      </c>
      <c r="N14" s="31"/>
      <c r="O14" s="31">
        <v>1968.0025129999999</v>
      </c>
      <c r="P14" s="31">
        <f t="shared" si="7"/>
        <v>51122.613267000001</v>
      </c>
      <c r="Q14" s="31">
        <v>52113.192509000008</v>
      </c>
      <c r="R14" s="31">
        <v>591.49876800000004</v>
      </c>
      <c r="S14" s="31"/>
      <c r="T14" s="31">
        <v>2042.744287</v>
      </c>
      <c r="U14" s="31">
        <f t="shared" si="8"/>
        <v>54747.435564000007</v>
      </c>
      <c r="V14" s="31">
        <v>55070.522322999997</v>
      </c>
      <c r="W14" s="31">
        <v>772.22831699999995</v>
      </c>
      <c r="X14" s="31"/>
      <c r="Y14" s="31">
        <v>2170.2997399999999</v>
      </c>
      <c r="Z14" s="31">
        <f t="shared" si="9"/>
        <v>58013.050380000001</v>
      </c>
      <c r="AA14" s="31">
        <v>57095.624357000001</v>
      </c>
      <c r="AB14" s="31">
        <v>948.90292099999999</v>
      </c>
      <c r="AC14" s="31"/>
      <c r="AD14" s="31">
        <v>2257.1117300000001</v>
      </c>
      <c r="AE14" s="31">
        <f t="shared" si="10"/>
        <v>60301.639007999998</v>
      </c>
      <c r="AF14" s="31">
        <v>59950.405574999997</v>
      </c>
      <c r="AG14" s="31">
        <v>1243.3118300000001</v>
      </c>
      <c r="AH14" s="31"/>
      <c r="AI14" s="31">
        <v>2370.400682</v>
      </c>
      <c r="AJ14" s="31">
        <f t="shared" si="11"/>
        <v>63564.118086999995</v>
      </c>
      <c r="AK14" s="31">
        <f>50080.809839</f>
        <v>50080.809839000001</v>
      </c>
      <c r="AL14" s="31">
        <v>13614.221733</v>
      </c>
      <c r="AM14" s="31">
        <f>1090.500611</f>
        <v>1090.5006109999999</v>
      </c>
      <c r="AN14" s="31">
        <v>588.38343499999996</v>
      </c>
      <c r="AO14" s="31">
        <v>207.734531</v>
      </c>
      <c r="AP14" s="31"/>
      <c r="AQ14" s="31">
        <v>513.16332199999999</v>
      </c>
      <c r="AR14" s="31">
        <f t="shared" si="12"/>
        <v>66094.813471000001</v>
      </c>
      <c r="AS14" s="31"/>
      <c r="AT14" s="31">
        <v>2528.9804880000002</v>
      </c>
      <c r="AU14" s="31">
        <f t="shared" si="13"/>
        <v>68623.793959000002</v>
      </c>
      <c r="AV14" s="16">
        <v>72048.347221999997</v>
      </c>
      <c r="AW14" s="16">
        <v>21716.110332</v>
      </c>
      <c r="AX14" s="16">
        <v>843.08811400000002</v>
      </c>
      <c r="AY14" s="16">
        <v>826.41815099999997</v>
      </c>
      <c r="AZ14" s="16">
        <f t="shared" si="2"/>
        <v>95433.963818999997</v>
      </c>
      <c r="BA14" s="16">
        <v>3465.9711889999999</v>
      </c>
      <c r="BB14" s="16">
        <v>268.34902</v>
      </c>
      <c r="BC14" s="16">
        <v>1005.058863</v>
      </c>
      <c r="BD14" s="16">
        <f t="shared" si="3"/>
        <v>4739.3790719999997</v>
      </c>
      <c r="BE14" s="16">
        <f t="shared" si="4"/>
        <v>100173.34289099999</v>
      </c>
    </row>
    <row r="15" spans="1:57" ht="12.75" customHeight="1" x14ac:dyDescent="0.2">
      <c r="A15" s="9" t="s">
        <v>59</v>
      </c>
      <c r="B15" s="31">
        <v>51961.67</v>
      </c>
      <c r="C15" s="31">
        <v>204.16018</v>
      </c>
      <c r="D15" s="31"/>
      <c r="E15" s="31">
        <v>2439.3620000000001</v>
      </c>
      <c r="F15" s="31">
        <f t="shared" si="5"/>
        <v>54605.192179999998</v>
      </c>
      <c r="G15" s="31">
        <v>57780.811840999995</v>
      </c>
      <c r="H15" s="31">
        <v>201.43765500000001</v>
      </c>
      <c r="I15" s="31"/>
      <c r="J15" s="31">
        <v>2585.7240000000002</v>
      </c>
      <c r="K15" s="31">
        <f t="shared" si="6"/>
        <v>60567.973495999999</v>
      </c>
      <c r="L15" s="31">
        <v>59731.766924999996</v>
      </c>
      <c r="M15" s="31">
        <v>371.96272199999999</v>
      </c>
      <c r="N15" s="31"/>
      <c r="O15" s="31">
        <v>2727.0240050000002</v>
      </c>
      <c r="P15" s="31">
        <f t="shared" si="7"/>
        <v>62830.753651999992</v>
      </c>
      <c r="Q15" s="31">
        <v>62696.093679000005</v>
      </c>
      <c r="R15" s="31">
        <v>515.70855800000004</v>
      </c>
      <c r="S15" s="31"/>
      <c r="T15" s="31">
        <v>2830.5923779999998</v>
      </c>
      <c r="U15" s="31">
        <f t="shared" si="8"/>
        <v>66042.394614999997</v>
      </c>
      <c r="V15" s="31">
        <v>66130.886734999993</v>
      </c>
      <c r="W15" s="31">
        <v>752.31015000000002</v>
      </c>
      <c r="X15" s="31"/>
      <c r="Y15" s="31">
        <v>3007.3435730000001</v>
      </c>
      <c r="Z15" s="31">
        <f t="shared" si="9"/>
        <v>69890.540458000003</v>
      </c>
      <c r="AA15" s="31">
        <v>68864.141608999998</v>
      </c>
      <c r="AB15" s="31">
        <v>421.26074199999999</v>
      </c>
      <c r="AC15" s="31"/>
      <c r="AD15" s="31">
        <v>3127.6373159999998</v>
      </c>
      <c r="AE15" s="31">
        <f t="shared" si="10"/>
        <v>72413.03966699999</v>
      </c>
      <c r="AF15" s="31">
        <v>72307.348689999999</v>
      </c>
      <c r="AG15" s="31">
        <v>1175.002211</v>
      </c>
      <c r="AH15" s="31"/>
      <c r="AI15" s="31">
        <v>3284.6196880000002</v>
      </c>
      <c r="AJ15" s="31">
        <f t="shared" si="11"/>
        <v>76766.970589000004</v>
      </c>
      <c r="AK15" s="31">
        <f>76416.288247</f>
        <v>76416.288247000004</v>
      </c>
      <c r="AL15" s="31"/>
      <c r="AM15" s="31">
        <f>1930.828297</f>
        <v>1930.828297</v>
      </c>
      <c r="AN15" s="31">
        <v>1017.379604</v>
      </c>
      <c r="AO15" s="31">
        <v>967.72655399999996</v>
      </c>
      <c r="AP15" s="31"/>
      <c r="AQ15" s="31">
        <v>461.59770700000001</v>
      </c>
      <c r="AR15" s="31">
        <f t="shared" si="12"/>
        <v>80793.820408999993</v>
      </c>
      <c r="AS15" s="31"/>
      <c r="AT15" s="31">
        <v>3504.360745</v>
      </c>
      <c r="AU15" s="31">
        <f t="shared" si="13"/>
        <v>84298.181153999991</v>
      </c>
      <c r="AV15" s="16">
        <v>113237.999958</v>
      </c>
      <c r="AW15" s="16"/>
      <c r="AX15" s="16">
        <v>1185.539405</v>
      </c>
      <c r="AY15" s="16">
        <v>2175.0313169999999</v>
      </c>
      <c r="AZ15" s="16">
        <f t="shared" si="2"/>
        <v>116598.57068</v>
      </c>
      <c r="BA15" s="16">
        <v>4421.7627210000001</v>
      </c>
      <c r="BB15" s="16">
        <v>637.87621999999999</v>
      </c>
      <c r="BC15" s="16">
        <v>1150.914675</v>
      </c>
      <c r="BD15" s="16">
        <f t="shared" si="3"/>
        <v>6210.5536160000001</v>
      </c>
      <c r="BE15" s="16">
        <f t="shared" si="4"/>
        <v>122809.12429600001</v>
      </c>
    </row>
    <row r="16" spans="1:57" ht="12.75" customHeight="1" x14ac:dyDescent="0.2">
      <c r="A16" s="9" t="s">
        <v>60</v>
      </c>
      <c r="B16" s="31">
        <v>48126.218000000001</v>
      </c>
      <c r="C16" s="31">
        <v>114.810963</v>
      </c>
      <c r="D16" s="31"/>
      <c r="E16" s="31">
        <v>909.33900000000006</v>
      </c>
      <c r="F16" s="31">
        <f t="shared" si="5"/>
        <v>49150.367963000004</v>
      </c>
      <c r="G16" s="31">
        <v>53204.635459999998</v>
      </c>
      <c r="H16" s="31">
        <v>149.61418399999999</v>
      </c>
      <c r="I16" s="31"/>
      <c r="J16" s="31">
        <v>963.899</v>
      </c>
      <c r="K16" s="31">
        <f t="shared" si="6"/>
        <v>54318.148643999994</v>
      </c>
      <c r="L16" s="31">
        <v>56295.817300999995</v>
      </c>
      <c r="M16" s="31">
        <v>157.317669</v>
      </c>
      <c r="N16" s="31"/>
      <c r="O16" s="31">
        <v>1016.572423</v>
      </c>
      <c r="P16" s="31">
        <f t="shared" si="7"/>
        <v>57469.70739299999</v>
      </c>
      <c r="Q16" s="31">
        <v>59337.536476999994</v>
      </c>
      <c r="R16" s="31">
        <v>382.91963500000003</v>
      </c>
      <c r="S16" s="31"/>
      <c r="T16" s="31">
        <v>1055.1799619999999</v>
      </c>
      <c r="U16" s="31">
        <f t="shared" si="8"/>
        <v>60775.636073999995</v>
      </c>
      <c r="V16" s="31">
        <v>62767.787434999998</v>
      </c>
      <c r="W16" s="31">
        <v>843.01366199999995</v>
      </c>
      <c r="X16" s="31"/>
      <c r="Y16" s="31">
        <v>1121.0687556</v>
      </c>
      <c r="Z16" s="31">
        <f t="shared" si="9"/>
        <v>64731.869852599993</v>
      </c>
      <c r="AA16" s="31">
        <v>65155.368033999999</v>
      </c>
      <c r="AB16" s="31">
        <v>650.59621100000004</v>
      </c>
      <c r="AC16" s="31"/>
      <c r="AD16" s="31">
        <v>1165.9115059999999</v>
      </c>
      <c r="AE16" s="31">
        <f t="shared" si="10"/>
        <v>66971.875751</v>
      </c>
      <c r="AF16" s="31">
        <v>68413.136434999993</v>
      </c>
      <c r="AG16" s="31">
        <v>924.18967799999996</v>
      </c>
      <c r="AH16" s="31"/>
      <c r="AI16" s="31">
        <v>1224.430936</v>
      </c>
      <c r="AJ16" s="31">
        <f t="shared" si="11"/>
        <v>70561.757048999993</v>
      </c>
      <c r="AK16" s="31">
        <f>49309.943002</f>
        <v>49309.943002</v>
      </c>
      <c r="AL16" s="31">
        <v>23466.510750000001</v>
      </c>
      <c r="AM16" s="31">
        <f>1091.160759</f>
        <v>1091.1607590000001</v>
      </c>
      <c r="AN16" s="31">
        <v>587.41825400000005</v>
      </c>
      <c r="AO16" s="31">
        <v>113.273066</v>
      </c>
      <c r="AP16" s="31"/>
      <c r="AQ16" s="31">
        <v>324.14470499999999</v>
      </c>
      <c r="AR16" s="31">
        <f t="shared" si="12"/>
        <v>74892.450536000004</v>
      </c>
      <c r="AS16" s="31"/>
      <c r="AT16" s="31">
        <v>1306.345366</v>
      </c>
      <c r="AU16" s="31">
        <f t="shared" si="13"/>
        <v>76198.795901999998</v>
      </c>
      <c r="AV16" s="16">
        <v>74529.041454000006</v>
      </c>
      <c r="AW16" s="16">
        <v>34798.547391</v>
      </c>
      <c r="AX16" s="16">
        <v>815.225549</v>
      </c>
      <c r="AY16" s="16">
        <v>243.12411700000001</v>
      </c>
      <c r="AZ16" s="16">
        <f t="shared" si="2"/>
        <v>110385.938511</v>
      </c>
      <c r="BA16" s="16">
        <v>1648.3317959999999</v>
      </c>
      <c r="BB16" s="16">
        <v>253.88139799999999</v>
      </c>
      <c r="BC16" s="16">
        <v>913.53279899999995</v>
      </c>
      <c r="BD16" s="16">
        <f t="shared" si="3"/>
        <v>2815.745993</v>
      </c>
      <c r="BE16" s="16">
        <f t="shared" si="4"/>
        <v>113201.684504</v>
      </c>
    </row>
    <row r="17" spans="1:57" ht="12.75" customHeight="1" x14ac:dyDescent="0.2">
      <c r="A17" s="9" t="s">
        <v>61</v>
      </c>
      <c r="B17" s="31">
        <v>18112.254000000001</v>
      </c>
      <c r="C17" s="31">
        <v>116.82882499999999</v>
      </c>
      <c r="D17" s="31"/>
      <c r="E17" s="31">
        <v>413.33600000000001</v>
      </c>
      <c r="F17" s="31">
        <f t="shared" si="5"/>
        <v>18642.418825000001</v>
      </c>
      <c r="G17" s="31">
        <v>20232.981026000001</v>
      </c>
      <c r="H17" s="31">
        <v>140.62359599999999</v>
      </c>
      <c r="I17" s="31"/>
      <c r="J17" s="31">
        <v>438.13600000000002</v>
      </c>
      <c r="K17" s="31">
        <f t="shared" si="6"/>
        <v>20811.740622000001</v>
      </c>
      <c r="L17" s="31">
        <v>21138.775426999997</v>
      </c>
      <c r="M17" s="31">
        <v>416.98695700000002</v>
      </c>
      <c r="N17" s="31"/>
      <c r="O17" s="31">
        <v>462.07847000000004</v>
      </c>
      <c r="P17" s="31">
        <f t="shared" si="7"/>
        <v>22017.840853999998</v>
      </c>
      <c r="Q17" s="31">
        <v>22056.938327999997</v>
      </c>
      <c r="R17" s="31">
        <v>596.83826899999997</v>
      </c>
      <c r="S17" s="31"/>
      <c r="T17" s="31">
        <v>479.62755299999998</v>
      </c>
      <c r="U17" s="31">
        <f t="shared" si="8"/>
        <v>23133.404149999995</v>
      </c>
      <c r="V17" s="31">
        <v>23565.278075999999</v>
      </c>
      <c r="W17" s="31">
        <v>647.04341899999997</v>
      </c>
      <c r="X17" s="31"/>
      <c r="Y17" s="31">
        <v>509.57702399999999</v>
      </c>
      <c r="Z17" s="31">
        <f t="shared" si="9"/>
        <v>24721.898518999998</v>
      </c>
      <c r="AA17" s="31">
        <v>24458.213207000001</v>
      </c>
      <c r="AB17" s="31">
        <v>825.09588799999995</v>
      </c>
      <c r="AC17" s="31"/>
      <c r="AD17" s="31">
        <v>529.960105</v>
      </c>
      <c r="AE17" s="31">
        <f t="shared" si="10"/>
        <v>25813.269199999999</v>
      </c>
      <c r="AF17" s="31">
        <v>25681.123866999998</v>
      </c>
      <c r="AG17" s="31">
        <v>947.69796699999995</v>
      </c>
      <c r="AH17" s="31"/>
      <c r="AI17" s="31">
        <v>556.55986299999995</v>
      </c>
      <c r="AJ17" s="31">
        <f t="shared" si="11"/>
        <v>27185.381696999997</v>
      </c>
      <c r="AK17" s="31">
        <f>26637.73359+205.180483</f>
        <v>26842.914073</v>
      </c>
      <c r="AL17" s="31">
        <v>1315.4065029999999</v>
      </c>
      <c r="AM17" s="31">
        <f>625.010875</f>
        <v>625.01087500000006</v>
      </c>
      <c r="AN17" s="31">
        <v>334.313782</v>
      </c>
      <c r="AO17" s="31">
        <v>398.49351999999999</v>
      </c>
      <c r="AP17" s="31"/>
      <c r="AQ17" s="31">
        <v>385.93672700000002</v>
      </c>
      <c r="AR17" s="31">
        <f t="shared" si="12"/>
        <v>29902.07548</v>
      </c>
      <c r="AS17" s="31"/>
      <c r="AT17" s="31">
        <v>593.79371800000001</v>
      </c>
      <c r="AU17" s="31">
        <f t="shared" si="13"/>
        <v>30495.869198</v>
      </c>
      <c r="AV17" s="16">
        <v>42941.620239000003</v>
      </c>
      <c r="AW17" s="16">
        <f>3921.4585+1502.764382</f>
        <v>5424.222882</v>
      </c>
      <c r="AX17" s="16">
        <v>489.85315700000001</v>
      </c>
      <c r="AY17" s="16">
        <v>581.20660299999997</v>
      </c>
      <c r="AZ17" s="16">
        <f t="shared" si="2"/>
        <v>49436.902881000002</v>
      </c>
      <c r="BA17" s="16">
        <v>749.24219200000005</v>
      </c>
      <c r="BB17" s="16">
        <v>214.98379800000001</v>
      </c>
      <c r="BC17" s="16">
        <v>731.87097800000004</v>
      </c>
      <c r="BD17" s="16">
        <f t="shared" si="3"/>
        <v>1696.0969680000001</v>
      </c>
      <c r="BE17" s="16">
        <f t="shared" si="4"/>
        <v>51132.999849</v>
      </c>
    </row>
    <row r="18" spans="1:57" s="11" customFormat="1" ht="12.75" customHeight="1" x14ac:dyDescent="0.2">
      <c r="A18" s="10" t="s">
        <v>62</v>
      </c>
      <c r="B18" s="32">
        <v>12785.733999999999</v>
      </c>
      <c r="C18" s="32">
        <v>108.684054</v>
      </c>
      <c r="D18" s="32"/>
      <c r="E18" s="32">
        <v>677.6</v>
      </c>
      <c r="F18" s="31">
        <f t="shared" si="5"/>
        <v>13572.018053999998</v>
      </c>
      <c r="G18" s="32">
        <v>14289.034619</v>
      </c>
      <c r="H18" s="32">
        <v>144.40216599999999</v>
      </c>
      <c r="I18" s="32"/>
      <c r="J18" s="32">
        <v>718.25599999999997</v>
      </c>
      <c r="K18" s="31">
        <f t="shared" si="6"/>
        <v>15151.692784999999</v>
      </c>
      <c r="L18" s="32">
        <v>14797.69867</v>
      </c>
      <c r="M18" s="32">
        <v>609.80847200000005</v>
      </c>
      <c r="N18" s="32"/>
      <c r="O18" s="32">
        <v>757.50596499999995</v>
      </c>
      <c r="P18" s="31">
        <f t="shared" si="7"/>
        <v>16165.013107000001</v>
      </c>
      <c r="Q18" s="32">
        <v>15467.867667</v>
      </c>
      <c r="R18" s="32">
        <v>410.668297</v>
      </c>
      <c r="S18" s="32"/>
      <c r="T18" s="32">
        <v>786.27457000000004</v>
      </c>
      <c r="U18" s="31">
        <f t="shared" si="8"/>
        <v>16664.810534</v>
      </c>
      <c r="V18" s="32">
        <v>16315.271728999998</v>
      </c>
      <c r="W18" s="32">
        <v>619.84475599999996</v>
      </c>
      <c r="X18" s="32"/>
      <c r="Y18" s="32">
        <v>835.41233399999999</v>
      </c>
      <c r="Z18" s="31">
        <f t="shared" si="9"/>
        <v>17770.528818999999</v>
      </c>
      <c r="AA18" s="32">
        <v>16890.913296999999</v>
      </c>
      <c r="AB18" s="32">
        <v>701.28885500000001</v>
      </c>
      <c r="AC18" s="32"/>
      <c r="AD18" s="32">
        <v>868.82882700000005</v>
      </c>
      <c r="AE18" s="31">
        <f t="shared" si="10"/>
        <v>18461.030978999999</v>
      </c>
      <c r="AF18" s="32">
        <v>17735.485896099999</v>
      </c>
      <c r="AG18" s="32">
        <v>920.14896599999997</v>
      </c>
      <c r="AH18" s="32"/>
      <c r="AI18" s="32">
        <v>912.43708400000003</v>
      </c>
      <c r="AJ18" s="31">
        <f t="shared" si="11"/>
        <v>19568.071946100001</v>
      </c>
      <c r="AK18" s="32">
        <f>18745.035711+218.836821</f>
        <v>18963.872532000001</v>
      </c>
      <c r="AL18" s="32"/>
      <c r="AM18" s="32">
        <f>476.851596</f>
        <v>476.85159599999997</v>
      </c>
      <c r="AN18" s="32">
        <v>249.877826</v>
      </c>
      <c r="AO18" s="32">
        <v>95.811756000000003</v>
      </c>
      <c r="AP18" s="32"/>
      <c r="AQ18" s="32">
        <v>411.623783</v>
      </c>
      <c r="AR18" s="32">
        <f t="shared" si="12"/>
        <v>20198.037493</v>
      </c>
      <c r="AS18" s="32"/>
      <c r="AT18" s="32">
        <v>973.47912499999995</v>
      </c>
      <c r="AU18" s="32">
        <f t="shared" si="13"/>
        <v>21171.516618000001</v>
      </c>
      <c r="AV18" s="16">
        <v>27803.580722999999</v>
      </c>
      <c r="AW18" s="16"/>
      <c r="AX18" s="16">
        <v>716.35979799999996</v>
      </c>
      <c r="AY18" s="16">
        <v>99.198649000000003</v>
      </c>
      <c r="AZ18" s="16">
        <f t="shared" si="2"/>
        <v>28619.139170000002</v>
      </c>
      <c r="BA18" s="16">
        <v>1228.3249410000001</v>
      </c>
      <c r="BB18" s="16">
        <v>125.163973</v>
      </c>
      <c r="BC18" s="16">
        <v>681.97745099999997</v>
      </c>
      <c r="BD18" s="16">
        <f t="shared" si="3"/>
        <v>2035.466365</v>
      </c>
      <c r="BE18" s="16">
        <f t="shared" si="4"/>
        <v>30654.605535000002</v>
      </c>
    </row>
    <row r="19" spans="1:57" ht="12.75" customHeight="1" x14ac:dyDescent="0.2">
      <c r="A19" s="9" t="s">
        <v>63</v>
      </c>
      <c r="B19" s="31">
        <v>39374.61</v>
      </c>
      <c r="C19" s="31">
        <v>183.96612099999999</v>
      </c>
      <c r="D19" s="31"/>
      <c r="E19" s="31">
        <v>1563.902</v>
      </c>
      <c r="F19" s="31">
        <f t="shared" si="5"/>
        <v>41122.478121</v>
      </c>
      <c r="G19" s="31">
        <v>44234.299653000002</v>
      </c>
      <c r="H19" s="31">
        <v>284.56910399999998</v>
      </c>
      <c r="I19" s="31"/>
      <c r="J19" s="31">
        <v>1657.7360000000001</v>
      </c>
      <c r="K19" s="31">
        <f t="shared" si="6"/>
        <v>46176.604757000001</v>
      </c>
      <c r="L19" s="31">
        <v>47075.108817</v>
      </c>
      <c r="M19" s="31">
        <v>697.53910199999996</v>
      </c>
      <c r="N19" s="31"/>
      <c r="O19" s="31">
        <v>1748.3249819999999</v>
      </c>
      <c r="P19" s="31">
        <f t="shared" si="7"/>
        <v>49520.972901000001</v>
      </c>
      <c r="Q19" s="31">
        <v>49971.501850999994</v>
      </c>
      <c r="R19" s="31">
        <v>538.11870199999998</v>
      </c>
      <c r="S19" s="31"/>
      <c r="T19" s="31">
        <v>1814.7242899999999</v>
      </c>
      <c r="U19" s="31">
        <f t="shared" si="8"/>
        <v>52324.344842999992</v>
      </c>
      <c r="V19" s="31">
        <v>52765.284462000003</v>
      </c>
      <c r="W19" s="31">
        <v>1185.5716359999999</v>
      </c>
      <c r="X19" s="31"/>
      <c r="Y19" s="31">
        <v>1928.0414490000001</v>
      </c>
      <c r="Z19" s="31">
        <f t="shared" si="9"/>
        <v>55878.897547</v>
      </c>
      <c r="AA19" s="31">
        <v>54703.179793999996</v>
      </c>
      <c r="AB19" s="31">
        <v>1523.3804909999999</v>
      </c>
      <c r="AC19" s="31"/>
      <c r="AD19" s="31">
        <v>2005.1631070000001</v>
      </c>
      <c r="AE19" s="31">
        <f t="shared" si="10"/>
        <v>58231.723392</v>
      </c>
      <c r="AF19" s="31">
        <v>57438.337775</v>
      </c>
      <c r="AG19" s="31">
        <v>1111.1136019999999</v>
      </c>
      <c r="AH19" s="31"/>
      <c r="AI19" s="31">
        <v>2105.8062530000002</v>
      </c>
      <c r="AJ19" s="31">
        <f t="shared" si="11"/>
        <v>60655.25763</v>
      </c>
      <c r="AK19" s="31">
        <f>49212.259585</f>
        <v>49212.259585</v>
      </c>
      <c r="AL19" s="31">
        <v>11718.198177</v>
      </c>
      <c r="AM19" s="31">
        <f>1189.575593</f>
        <v>1189.575593</v>
      </c>
      <c r="AN19" s="31">
        <v>629.22175900000002</v>
      </c>
      <c r="AO19" s="31">
        <v>315.00660299999998</v>
      </c>
      <c r="AP19" s="31"/>
      <c r="AQ19" s="31">
        <v>472.13476700000001</v>
      </c>
      <c r="AR19" s="31">
        <f t="shared" si="12"/>
        <v>63536.396484000004</v>
      </c>
      <c r="AS19" s="31"/>
      <c r="AT19" s="31">
        <v>2246.6846909999999</v>
      </c>
      <c r="AU19" s="31">
        <f t="shared" si="13"/>
        <v>65783.081174999999</v>
      </c>
      <c r="AV19" s="16">
        <v>86730.880690999998</v>
      </c>
      <c r="AW19" s="16">
        <v>1560</v>
      </c>
      <c r="AX19" s="16">
        <v>1091.6782800000001</v>
      </c>
      <c r="AY19" s="16">
        <v>1122.3947189999999</v>
      </c>
      <c r="AZ19" s="16">
        <f t="shared" si="2"/>
        <v>90504.953689999995</v>
      </c>
      <c r="BA19" s="16">
        <v>2834.841312</v>
      </c>
      <c r="BB19" s="16">
        <v>296.07863099999997</v>
      </c>
      <c r="BC19" s="16">
        <v>1080.4200089999999</v>
      </c>
      <c r="BD19" s="16">
        <f t="shared" si="3"/>
        <v>4211.3399520000003</v>
      </c>
      <c r="BE19" s="16">
        <f t="shared" si="4"/>
        <v>94716.29364199999</v>
      </c>
    </row>
    <row r="20" spans="1:57" ht="12.75" customHeight="1" x14ac:dyDescent="0.2">
      <c r="A20" s="9" t="s">
        <v>64</v>
      </c>
      <c r="B20" s="31">
        <v>11238.951999999999</v>
      </c>
      <c r="C20" s="31">
        <v>146.55980400000001</v>
      </c>
      <c r="D20" s="31"/>
      <c r="E20" s="31">
        <v>481.096</v>
      </c>
      <c r="F20" s="31">
        <f t="shared" si="5"/>
        <v>11866.607803999999</v>
      </c>
      <c r="G20" s="31">
        <v>12405.491469999999</v>
      </c>
      <c r="H20" s="31">
        <v>163.12870799999999</v>
      </c>
      <c r="I20" s="31"/>
      <c r="J20" s="31">
        <v>509.96199999999999</v>
      </c>
      <c r="K20" s="31">
        <f t="shared" si="6"/>
        <v>13078.582177999999</v>
      </c>
      <c r="L20" s="31">
        <v>13142.180627000002</v>
      </c>
      <c r="M20" s="31">
        <v>303.51634300000001</v>
      </c>
      <c r="N20" s="31"/>
      <c r="O20" s="31">
        <v>537.82948799999997</v>
      </c>
      <c r="P20" s="31">
        <f t="shared" si="7"/>
        <v>13983.526458</v>
      </c>
      <c r="Q20" s="31">
        <v>13508.116230000001</v>
      </c>
      <c r="R20" s="31">
        <v>520.18204000000003</v>
      </c>
      <c r="S20" s="31"/>
      <c r="T20" s="31">
        <v>558.25566399999991</v>
      </c>
      <c r="U20" s="31">
        <f t="shared" si="8"/>
        <v>14586.553934000001</v>
      </c>
      <c r="V20" s="31">
        <v>14530.155697</v>
      </c>
      <c r="W20" s="31">
        <v>704.452856</v>
      </c>
      <c r="X20" s="31"/>
      <c r="Y20" s="31">
        <v>593.13296800000001</v>
      </c>
      <c r="Z20" s="31">
        <f t="shared" si="9"/>
        <v>15827.741521</v>
      </c>
      <c r="AA20" s="31">
        <v>15094.164498</v>
      </c>
      <c r="AB20" s="31">
        <v>439.53933999999998</v>
      </c>
      <c r="AC20" s="31"/>
      <c r="AD20" s="31">
        <v>616.85828700000002</v>
      </c>
      <c r="AE20" s="31">
        <f t="shared" si="10"/>
        <v>16150.562125</v>
      </c>
      <c r="AF20" s="31">
        <v>15848.872723</v>
      </c>
      <c r="AG20" s="31">
        <v>713.06922499999996</v>
      </c>
      <c r="AH20" s="31"/>
      <c r="AI20" s="31">
        <v>647.81963800000005</v>
      </c>
      <c r="AJ20" s="31">
        <f t="shared" si="11"/>
        <v>17209.761586000001</v>
      </c>
      <c r="AK20" s="31">
        <f>17171.822082+203.152996</f>
        <v>17374.975077999999</v>
      </c>
      <c r="AL20" s="31"/>
      <c r="AM20" s="31">
        <f>414.517718</f>
        <v>414.517718</v>
      </c>
      <c r="AN20" s="31">
        <v>222.069378</v>
      </c>
      <c r="AO20" s="31">
        <v>145.47841399999999</v>
      </c>
      <c r="AP20" s="31"/>
      <c r="AQ20" s="31">
        <v>382.12310100000002</v>
      </c>
      <c r="AR20" s="31">
        <f t="shared" si="12"/>
        <v>18539.163689000001</v>
      </c>
      <c r="AS20" s="31"/>
      <c r="AT20" s="31">
        <v>691.158772</v>
      </c>
      <c r="AU20" s="31">
        <f t="shared" si="13"/>
        <v>19230.322461</v>
      </c>
      <c r="AV20" s="16">
        <v>28866.759408999998</v>
      </c>
      <c r="AW20" s="16"/>
      <c r="AX20" s="16">
        <v>632.97556999999995</v>
      </c>
      <c r="AY20" s="16">
        <v>343.45413300000001</v>
      </c>
      <c r="AZ20" s="16">
        <f t="shared" si="2"/>
        <v>29843.189111999996</v>
      </c>
      <c r="BA20" s="16">
        <v>872.096315</v>
      </c>
      <c r="BB20" s="16">
        <v>179.766559</v>
      </c>
      <c r="BC20" s="16">
        <v>881.15313900000001</v>
      </c>
      <c r="BD20" s="16">
        <f t="shared" si="3"/>
        <v>1933.0160129999999</v>
      </c>
      <c r="BE20" s="16">
        <f t="shared" si="4"/>
        <v>31776.205124999997</v>
      </c>
    </row>
    <row r="21" spans="1:57" ht="12.75" customHeight="1" x14ac:dyDescent="0.2">
      <c r="A21" s="9" t="s">
        <v>65</v>
      </c>
      <c r="B21" s="31">
        <v>22189.360000000001</v>
      </c>
      <c r="C21" s="31">
        <v>149.043049</v>
      </c>
      <c r="D21" s="31">
        <v>74.462264000000005</v>
      </c>
      <c r="E21" s="31">
        <v>1131.5930000000001</v>
      </c>
      <c r="F21" s="31">
        <f t="shared" si="5"/>
        <v>23544.458313000003</v>
      </c>
      <c r="G21" s="31">
        <v>24453.344800000003</v>
      </c>
      <c r="H21" s="31">
        <v>111.017144</v>
      </c>
      <c r="I21" s="31">
        <v>70.777041999999994</v>
      </c>
      <c r="J21" s="31">
        <v>1199.489</v>
      </c>
      <c r="K21" s="31">
        <f t="shared" si="6"/>
        <v>25834.627986000007</v>
      </c>
      <c r="L21" s="31">
        <v>25869.235911</v>
      </c>
      <c r="M21" s="31">
        <v>246.577809</v>
      </c>
      <c r="N21" s="31">
        <v>63.514152000000003</v>
      </c>
      <c r="O21" s="31">
        <v>1265.0365220000001</v>
      </c>
      <c r="P21" s="31">
        <f t="shared" si="7"/>
        <v>27444.364393999997</v>
      </c>
      <c r="Q21" s="31">
        <v>26647.067641999998</v>
      </c>
      <c r="R21" s="31">
        <v>559.72687599999995</v>
      </c>
      <c r="S21" s="31">
        <v>58.955460000000002</v>
      </c>
      <c r="T21" s="31">
        <v>1313.0805169999999</v>
      </c>
      <c r="U21" s="31">
        <f t="shared" si="8"/>
        <v>28578.830494999998</v>
      </c>
      <c r="V21" s="31">
        <v>28379.921955999998</v>
      </c>
      <c r="W21" s="31">
        <v>640.45760700000005</v>
      </c>
      <c r="X21" s="31">
        <v>50.302331000000002</v>
      </c>
      <c r="Y21" s="31">
        <v>1395.0734419999999</v>
      </c>
      <c r="Z21" s="31">
        <f t="shared" si="9"/>
        <v>30465.755335999998</v>
      </c>
      <c r="AA21" s="31">
        <v>29882.500972000002</v>
      </c>
      <c r="AB21" s="31">
        <v>710.42815399999995</v>
      </c>
      <c r="AC21" s="31"/>
      <c r="AD21" s="31">
        <v>1450.837884</v>
      </c>
      <c r="AE21" s="31">
        <f t="shared" si="10"/>
        <v>32043.767010000003</v>
      </c>
      <c r="AF21" s="31">
        <v>31376.626021</v>
      </c>
      <c r="AG21" s="31">
        <v>840.83002999999997</v>
      </c>
      <c r="AH21" s="31"/>
      <c r="AI21" s="31">
        <v>1523.6583390000001</v>
      </c>
      <c r="AJ21" s="31">
        <f t="shared" si="11"/>
        <v>33741.114390000002</v>
      </c>
      <c r="AK21" s="31">
        <f>33148.913822</f>
        <v>33148.913822000002</v>
      </c>
      <c r="AL21" s="31"/>
      <c r="AM21" s="31">
        <f>817.774878</f>
        <v>817.77487799999994</v>
      </c>
      <c r="AN21" s="31">
        <v>439.40547600000002</v>
      </c>
      <c r="AO21" s="31">
        <v>204.058682</v>
      </c>
      <c r="AP21" s="31"/>
      <c r="AQ21" s="31">
        <v>440.91688799999997</v>
      </c>
      <c r="AR21" s="31">
        <f t="shared" si="12"/>
        <v>35051.069746000001</v>
      </c>
      <c r="AS21" s="31"/>
      <c r="AT21" s="31">
        <v>1625.5910819999999</v>
      </c>
      <c r="AU21" s="31">
        <f t="shared" si="13"/>
        <v>36676.660828</v>
      </c>
      <c r="AV21" s="16">
        <v>49114.101513000001</v>
      </c>
      <c r="AW21" s="16"/>
      <c r="AX21" s="16">
        <v>1009.764976</v>
      </c>
      <c r="AY21" s="16">
        <v>508.625741</v>
      </c>
      <c r="AZ21" s="16">
        <f t="shared" si="2"/>
        <v>50632.492230000003</v>
      </c>
      <c r="BA21" s="16">
        <v>2601.016897</v>
      </c>
      <c r="BB21" s="16">
        <v>141.02759499999999</v>
      </c>
      <c r="BC21" s="16">
        <v>0</v>
      </c>
      <c r="BD21" s="16">
        <f t="shared" si="3"/>
        <v>2742.044492</v>
      </c>
      <c r="BE21" s="16">
        <f t="shared" si="4"/>
        <v>53374.536722000004</v>
      </c>
    </row>
    <row r="22" spans="1:57" s="11" customFormat="1" ht="12.75" customHeight="1" x14ac:dyDescent="0.2">
      <c r="A22" s="10" t="s">
        <v>66</v>
      </c>
      <c r="B22" s="32">
        <v>9510.1229999999996</v>
      </c>
      <c r="C22" s="32">
        <v>103.347751</v>
      </c>
      <c r="D22" s="32"/>
      <c r="E22" s="32">
        <v>372.68</v>
      </c>
      <c r="F22" s="31">
        <f t="shared" si="5"/>
        <v>9986.1507509999992</v>
      </c>
      <c r="G22" s="32">
        <v>10603.956672</v>
      </c>
      <c r="H22" s="32">
        <v>158.113743</v>
      </c>
      <c r="I22" s="32"/>
      <c r="J22" s="32">
        <v>395.041</v>
      </c>
      <c r="K22" s="31">
        <f t="shared" si="6"/>
        <v>11157.111414999999</v>
      </c>
      <c r="L22" s="32">
        <v>11680.270451</v>
      </c>
      <c r="M22" s="32">
        <v>646.15778999999998</v>
      </c>
      <c r="N22" s="32"/>
      <c r="O22" s="32">
        <v>416.62849199999999</v>
      </c>
      <c r="P22" s="31">
        <f t="shared" si="7"/>
        <v>12743.056732999999</v>
      </c>
      <c r="Q22" s="32">
        <v>11491.212702000001</v>
      </c>
      <c r="R22" s="32">
        <v>302.94958700000001</v>
      </c>
      <c r="S22" s="32"/>
      <c r="T22" s="32">
        <v>432.45134000000002</v>
      </c>
      <c r="U22" s="31">
        <f t="shared" si="8"/>
        <v>12226.613628999999</v>
      </c>
      <c r="V22" s="32">
        <v>12120.756509999999</v>
      </c>
      <c r="W22" s="32">
        <v>594.20688099999995</v>
      </c>
      <c r="X22" s="32"/>
      <c r="Y22" s="32">
        <v>459.45497799999998</v>
      </c>
      <c r="Z22" s="31">
        <f t="shared" si="9"/>
        <v>13174.418368999999</v>
      </c>
      <c r="AA22" s="32">
        <v>12848.40561</v>
      </c>
      <c r="AB22" s="32">
        <v>779.39939500000003</v>
      </c>
      <c r="AC22" s="32"/>
      <c r="AD22" s="32">
        <v>477.83317699999998</v>
      </c>
      <c r="AE22" s="31">
        <f t="shared" si="10"/>
        <v>14105.638182000001</v>
      </c>
      <c r="AF22" s="32">
        <v>13490.82589</v>
      </c>
      <c r="AG22" s="32">
        <v>920.14896599999997</v>
      </c>
      <c r="AH22" s="32"/>
      <c r="AI22" s="32">
        <v>501.81657999999999</v>
      </c>
      <c r="AJ22" s="31">
        <f t="shared" si="11"/>
        <v>14912.791436000001</v>
      </c>
      <c r="AK22" s="32">
        <f>14989.931251+220.34093</f>
        <v>15210.272181</v>
      </c>
      <c r="AL22" s="32"/>
      <c r="AM22" s="32">
        <f>352.757176</f>
        <v>352.75717600000002</v>
      </c>
      <c r="AN22" s="32">
        <v>189.04650899999999</v>
      </c>
      <c r="AO22" s="32">
        <v>202.59394599999999</v>
      </c>
      <c r="AP22" s="32"/>
      <c r="AQ22" s="32">
        <v>414.45295399999998</v>
      </c>
      <c r="AR22" s="32">
        <f t="shared" si="12"/>
        <v>16369.122766</v>
      </c>
      <c r="AS22" s="32"/>
      <c r="AT22" s="32">
        <v>535.38810899999999</v>
      </c>
      <c r="AU22" s="32">
        <f t="shared" si="13"/>
        <v>16904.510875</v>
      </c>
      <c r="AV22" s="16">
        <v>25973.070739999999</v>
      </c>
      <c r="AW22" s="17"/>
      <c r="AX22" s="16">
        <v>747.84581300000002</v>
      </c>
      <c r="AY22" s="16">
        <v>337.305498</v>
      </c>
      <c r="AZ22" s="16">
        <f t="shared" si="2"/>
        <v>27058.222051000001</v>
      </c>
      <c r="BA22" s="16">
        <v>950.47888999999998</v>
      </c>
      <c r="BB22" s="16">
        <v>101.65408600000001</v>
      </c>
      <c r="BC22" s="16">
        <v>798.89653099999998</v>
      </c>
      <c r="BD22" s="16">
        <f t="shared" si="3"/>
        <v>1851.0295069999997</v>
      </c>
      <c r="BE22" s="16">
        <f t="shared" si="4"/>
        <v>28909.251558</v>
      </c>
    </row>
    <row r="23" spans="1:57" ht="12.75" customHeight="1" x14ac:dyDescent="0.2">
      <c r="A23" s="9" t="s">
        <v>67</v>
      </c>
      <c r="B23" s="31">
        <v>7084.35</v>
      </c>
      <c r="C23" s="31">
        <v>138.17477</v>
      </c>
      <c r="D23" s="31"/>
      <c r="E23" s="31">
        <v>543.43499999999995</v>
      </c>
      <c r="F23" s="31">
        <f t="shared" si="5"/>
        <v>7765.9597699999995</v>
      </c>
      <c r="G23" s="31">
        <v>8073.5444809999999</v>
      </c>
      <c r="H23" s="31">
        <v>146.49526399999999</v>
      </c>
      <c r="I23" s="31"/>
      <c r="J23" s="31">
        <v>576.04100000000005</v>
      </c>
      <c r="K23" s="31">
        <f t="shared" si="6"/>
        <v>8796.0807449999993</v>
      </c>
      <c r="L23" s="31">
        <v>8254.5170240000007</v>
      </c>
      <c r="M23" s="31">
        <v>487.67944</v>
      </c>
      <c r="N23" s="31"/>
      <c r="O23" s="31">
        <v>607.51945499999999</v>
      </c>
      <c r="P23" s="31">
        <f t="shared" si="7"/>
        <v>9349.7159190000002</v>
      </c>
      <c r="Q23" s="31">
        <v>8659.734883000001</v>
      </c>
      <c r="R23" s="31">
        <v>409.13168100000001</v>
      </c>
      <c r="S23" s="31"/>
      <c r="T23" s="31">
        <v>630.59186799999998</v>
      </c>
      <c r="U23" s="31">
        <f t="shared" si="8"/>
        <v>9699.4584320000013</v>
      </c>
      <c r="V23" s="31">
        <v>9758.1567410000025</v>
      </c>
      <c r="W23" s="31">
        <v>561.88314300000002</v>
      </c>
      <c r="X23" s="31"/>
      <c r="Y23" s="31">
        <v>670.00099399999999</v>
      </c>
      <c r="Z23" s="31">
        <f t="shared" si="9"/>
        <v>10990.040878000002</v>
      </c>
      <c r="AA23" s="31">
        <v>10355.431501999999</v>
      </c>
      <c r="AB23" s="31">
        <v>614.03901599999995</v>
      </c>
      <c r="AC23" s="31"/>
      <c r="AD23" s="31">
        <v>696.80103399999996</v>
      </c>
      <c r="AE23" s="31">
        <f t="shared" si="10"/>
        <v>11666.271552</v>
      </c>
      <c r="AF23" s="31">
        <v>10873.203078</v>
      </c>
      <c r="AG23" s="31">
        <v>738.95419300000003</v>
      </c>
      <c r="AH23" s="31"/>
      <c r="AI23" s="31">
        <v>731.77487099999996</v>
      </c>
      <c r="AJ23" s="31">
        <f t="shared" si="11"/>
        <v>12343.932142</v>
      </c>
      <c r="AK23" s="31">
        <f>11940.317558+226.303568</f>
        <v>12166.621126</v>
      </c>
      <c r="AL23" s="31"/>
      <c r="AM23" s="31">
        <f>269.113982</f>
        <v>269.11398200000002</v>
      </c>
      <c r="AN23" s="31">
        <v>154.711951</v>
      </c>
      <c r="AO23" s="31">
        <v>305.97107299999999</v>
      </c>
      <c r="AP23" s="31"/>
      <c r="AQ23" s="31">
        <v>425.668451</v>
      </c>
      <c r="AR23" s="31">
        <f t="shared" si="12"/>
        <v>13322.086583</v>
      </c>
      <c r="AS23" s="31"/>
      <c r="AT23" s="31">
        <v>780.73060999999996</v>
      </c>
      <c r="AU23" s="31">
        <f t="shared" si="13"/>
        <v>14102.817193000001</v>
      </c>
      <c r="AV23" s="16">
        <v>20760.866157</v>
      </c>
      <c r="AW23" s="16"/>
      <c r="AX23" s="16">
        <v>865.22636399999999</v>
      </c>
      <c r="AY23" s="16">
        <v>432.299012</v>
      </c>
      <c r="AZ23" s="16">
        <f t="shared" si="2"/>
        <v>22058.391532999998</v>
      </c>
      <c r="BA23" s="16">
        <v>985.11704699999996</v>
      </c>
      <c r="BB23" s="16">
        <v>148.83249699999999</v>
      </c>
      <c r="BC23" s="16">
        <v>625.54554499999995</v>
      </c>
      <c r="BD23" s="16">
        <f t="shared" si="3"/>
        <v>1759.495089</v>
      </c>
      <c r="BE23" s="16">
        <f t="shared" si="4"/>
        <v>23817.886621999998</v>
      </c>
    </row>
    <row r="24" spans="1:57" ht="12.75" customHeight="1" x14ac:dyDescent="0.2">
      <c r="A24" s="9" t="s">
        <v>68</v>
      </c>
      <c r="B24" s="31">
        <v>3268.5</v>
      </c>
      <c r="C24" s="31">
        <v>0</v>
      </c>
      <c r="D24" s="31"/>
      <c r="E24" s="31">
        <v>0</v>
      </c>
      <c r="F24" s="31">
        <f t="shared" si="5"/>
        <v>3268.5</v>
      </c>
      <c r="G24" s="31">
        <v>3447.9088000000002</v>
      </c>
      <c r="H24" s="31">
        <v>34.213161999999997</v>
      </c>
      <c r="I24" s="31"/>
      <c r="J24" s="31">
        <v>0</v>
      </c>
      <c r="K24" s="31">
        <f t="shared" si="6"/>
        <v>3482.1219620000002</v>
      </c>
      <c r="L24" s="31">
        <v>3704.0312009999998</v>
      </c>
      <c r="M24" s="31">
        <v>687.12976900000001</v>
      </c>
      <c r="N24" s="31"/>
      <c r="O24" s="31">
        <v>0</v>
      </c>
      <c r="P24" s="31">
        <f t="shared" si="7"/>
        <v>4391.1609699999999</v>
      </c>
      <c r="Q24" s="31">
        <v>4836.9031859999996</v>
      </c>
      <c r="R24" s="31">
        <v>1372.039577</v>
      </c>
      <c r="S24" s="31"/>
      <c r="T24" s="31">
        <v>0</v>
      </c>
      <c r="U24" s="31">
        <f t="shared" si="8"/>
        <v>6208.9427629999991</v>
      </c>
      <c r="V24" s="31">
        <v>5492.1071650000004</v>
      </c>
      <c r="W24" s="31">
        <v>944.27499</v>
      </c>
      <c r="X24" s="31"/>
      <c r="Y24" s="31">
        <v>0</v>
      </c>
      <c r="Z24" s="31">
        <f t="shared" si="9"/>
        <v>6436.3821550000002</v>
      </c>
      <c r="AA24" s="31">
        <v>5992.6987250000002</v>
      </c>
      <c r="AB24" s="31">
        <v>1059.2212870000001</v>
      </c>
      <c r="AC24" s="31"/>
      <c r="AD24" s="31">
        <v>300</v>
      </c>
      <c r="AE24" s="31">
        <f t="shared" si="10"/>
        <v>7351.9200120000005</v>
      </c>
      <c r="AF24" s="31">
        <v>6292.3336609999997</v>
      </c>
      <c r="AG24" s="31">
        <v>814.94506200000001</v>
      </c>
      <c r="AH24" s="31"/>
      <c r="AI24" s="31">
        <v>315.05759999999998</v>
      </c>
      <c r="AJ24" s="31">
        <f t="shared" si="11"/>
        <v>7422.3363229999995</v>
      </c>
      <c r="AK24" s="31">
        <f>6637.813988+221.52781</f>
        <v>6859.3417979999995</v>
      </c>
      <c r="AL24" s="31"/>
      <c r="AM24" s="31">
        <f>145.387802</f>
        <v>145.38780199999999</v>
      </c>
      <c r="AN24" s="31">
        <v>86.200295999999994</v>
      </c>
      <c r="AO24" s="31">
        <v>3.8257859999999999</v>
      </c>
      <c r="AP24" s="31"/>
      <c r="AQ24" s="31">
        <v>416.68543099999999</v>
      </c>
      <c r="AR24" s="31">
        <f t="shared" si="12"/>
        <v>7511.4411129999999</v>
      </c>
      <c r="AS24" s="31"/>
      <c r="AT24" s="31">
        <v>336.134953</v>
      </c>
      <c r="AU24" s="31">
        <f t="shared" si="13"/>
        <v>7847.5760659999996</v>
      </c>
      <c r="AV24" s="16">
        <v>15654.576064000001</v>
      </c>
      <c r="AW24" s="16"/>
      <c r="AX24" s="16">
        <v>623.28761499999996</v>
      </c>
      <c r="AY24" s="16">
        <v>6.5916220000000001</v>
      </c>
      <c r="AZ24" s="16">
        <f t="shared" si="2"/>
        <v>16284.455301</v>
      </c>
      <c r="BA24" s="16">
        <v>424.13127900000001</v>
      </c>
      <c r="BB24" s="16">
        <v>33.757787</v>
      </c>
      <c r="BC24" s="16">
        <v>596.68107899999995</v>
      </c>
      <c r="BD24" s="16">
        <f t="shared" si="3"/>
        <v>1054.5701449999999</v>
      </c>
      <c r="BE24" s="16">
        <f t="shared" si="4"/>
        <v>17339.025446</v>
      </c>
    </row>
    <row r="25" spans="1:57" ht="12.75" customHeight="1" x14ac:dyDescent="0.2">
      <c r="A25" s="9" t="s">
        <v>69</v>
      </c>
      <c r="B25" s="31">
        <v>0</v>
      </c>
      <c r="C25" s="31">
        <v>0</v>
      </c>
      <c r="D25" s="31"/>
      <c r="E25" s="31">
        <v>0</v>
      </c>
      <c r="F25" s="31">
        <f t="shared" si="5"/>
        <v>0</v>
      </c>
      <c r="G25" s="31">
        <v>4221.9541850000005</v>
      </c>
      <c r="H25" s="31">
        <v>232.623738</v>
      </c>
      <c r="I25" s="31"/>
      <c r="J25" s="31">
        <v>0</v>
      </c>
      <c r="K25" s="31">
        <f t="shared" si="6"/>
        <v>4454.5779230000007</v>
      </c>
      <c r="L25" s="31">
        <v>4351.0871660000003</v>
      </c>
      <c r="M25" s="31">
        <v>259.14716299999998</v>
      </c>
      <c r="N25" s="31"/>
      <c r="O25" s="31">
        <v>0</v>
      </c>
      <c r="P25" s="31">
        <f t="shared" si="7"/>
        <v>4610.2343289999999</v>
      </c>
      <c r="Q25" s="31">
        <v>4379.2317739999999</v>
      </c>
      <c r="R25" s="31">
        <v>706.62697800000001</v>
      </c>
      <c r="S25" s="31"/>
      <c r="T25" s="31">
        <v>0</v>
      </c>
      <c r="U25" s="31">
        <f t="shared" si="8"/>
        <v>5085.8587520000001</v>
      </c>
      <c r="V25" s="31">
        <v>4619.1471179999999</v>
      </c>
      <c r="W25" s="31">
        <v>616.64131199999997</v>
      </c>
      <c r="X25" s="31"/>
      <c r="Y25" s="31">
        <v>0</v>
      </c>
      <c r="Z25" s="31">
        <f t="shared" si="9"/>
        <v>5235.7884299999996</v>
      </c>
      <c r="AA25" s="31">
        <v>4832.1216080000004</v>
      </c>
      <c r="AB25" s="31">
        <v>1174.0952420000001</v>
      </c>
      <c r="AC25" s="31"/>
      <c r="AD25" s="31">
        <v>0</v>
      </c>
      <c r="AE25" s="31">
        <f t="shared" si="10"/>
        <v>6006.2168500000007</v>
      </c>
      <c r="AF25" s="31">
        <v>5073.7276879999999</v>
      </c>
      <c r="AG25" s="31">
        <v>1135.7068409999999</v>
      </c>
      <c r="AH25" s="31"/>
      <c r="AI25" s="31">
        <v>0</v>
      </c>
      <c r="AJ25" s="31">
        <f t="shared" si="11"/>
        <v>6209.4345290000001</v>
      </c>
      <c r="AK25" s="31">
        <f>5800.378008</f>
        <v>5800.3780079999997</v>
      </c>
      <c r="AL25" s="31"/>
      <c r="AM25" s="31">
        <f>134.755271</f>
        <v>134.75527099999999</v>
      </c>
      <c r="AN25" s="31">
        <v>71.313261999999995</v>
      </c>
      <c r="AO25" s="31">
        <v>1342.9179469999999</v>
      </c>
      <c r="AP25" s="31"/>
      <c r="AQ25" s="31">
        <v>428.68303100000003</v>
      </c>
      <c r="AR25" s="31">
        <f t="shared" si="12"/>
        <v>7778.0475189999997</v>
      </c>
      <c r="AS25" s="31"/>
      <c r="AT25" s="31">
        <v>0</v>
      </c>
      <c r="AU25" s="31">
        <f t="shared" si="13"/>
        <v>7778.0475189999997</v>
      </c>
      <c r="AV25" s="16">
        <v>16180.704123</v>
      </c>
      <c r="AW25" s="16"/>
      <c r="AX25" s="16">
        <v>956.19572600000004</v>
      </c>
      <c r="AY25" s="16">
        <v>4552.1352639999996</v>
      </c>
      <c r="AZ25" s="16">
        <f t="shared" si="2"/>
        <v>21689.035113000002</v>
      </c>
      <c r="BA25" s="16"/>
      <c r="BB25" s="16">
        <v>373.74692199999998</v>
      </c>
      <c r="BC25" s="16">
        <v>1106.7536009999999</v>
      </c>
      <c r="BD25" s="16">
        <f t="shared" si="3"/>
        <v>1480.5005229999999</v>
      </c>
      <c r="BE25" s="16">
        <f t="shared" si="4"/>
        <v>23169.535636000001</v>
      </c>
    </row>
    <row r="26" spans="1:57" ht="12.75" customHeight="1" x14ac:dyDescent="0.2">
      <c r="A26" s="9" t="s">
        <v>70</v>
      </c>
      <c r="B26" s="31"/>
      <c r="C26" s="31"/>
      <c r="D26" s="31"/>
      <c r="E26" s="31"/>
      <c r="F26" s="31">
        <f t="shared" si="5"/>
        <v>0</v>
      </c>
      <c r="G26" s="31"/>
      <c r="H26" s="31"/>
      <c r="I26" s="31"/>
      <c r="J26" s="31"/>
      <c r="K26" s="31">
        <f t="shared" si="6"/>
        <v>0</v>
      </c>
      <c r="L26" s="31"/>
      <c r="M26" s="31"/>
      <c r="N26" s="31"/>
      <c r="O26" s="31"/>
      <c r="P26" s="31">
        <f t="shared" si="7"/>
        <v>0</v>
      </c>
      <c r="Q26" s="31"/>
      <c r="R26" s="31"/>
      <c r="S26" s="31"/>
      <c r="T26" s="31"/>
      <c r="U26" s="31">
        <f t="shared" si="8"/>
        <v>0</v>
      </c>
      <c r="V26" s="31">
        <v>17473.900000000001</v>
      </c>
      <c r="W26" s="31">
        <v>493.71093100000002</v>
      </c>
      <c r="X26" s="31"/>
      <c r="Y26" s="31">
        <v>650</v>
      </c>
      <c r="Z26" s="31">
        <f t="shared" si="9"/>
        <v>18617.610931000003</v>
      </c>
      <c r="AA26" s="31">
        <v>18672.895621</v>
      </c>
      <c r="AB26" s="31">
        <v>370.56809900000002</v>
      </c>
      <c r="AC26" s="31"/>
      <c r="AD26" s="31">
        <v>676</v>
      </c>
      <c r="AE26" s="31">
        <f t="shared" si="10"/>
        <v>19719.46372</v>
      </c>
      <c r="AF26" s="31">
        <v>19606.564034000003</v>
      </c>
      <c r="AG26" s="31">
        <v>693.05849699999999</v>
      </c>
      <c r="AH26" s="31"/>
      <c r="AI26" s="31">
        <v>709.92979200000002</v>
      </c>
      <c r="AJ26" s="31">
        <f t="shared" si="11"/>
        <v>21009.552323</v>
      </c>
      <c r="AK26" s="31">
        <f>21405.536196+203.157372</f>
        <v>21608.693568000002</v>
      </c>
      <c r="AL26" s="31"/>
      <c r="AM26" s="31">
        <f>510.519927</f>
        <v>510.519927</v>
      </c>
      <c r="AN26" s="31">
        <v>288.97054500000002</v>
      </c>
      <c r="AO26" s="31">
        <v>2024.3574060000001</v>
      </c>
      <c r="AP26" s="31"/>
      <c r="AQ26" s="31">
        <v>382.13133399999998</v>
      </c>
      <c r="AR26" s="31">
        <f t="shared" si="12"/>
        <v>24814.672780000004</v>
      </c>
      <c r="AS26" s="31"/>
      <c r="AT26" s="31">
        <v>757.42409499999997</v>
      </c>
      <c r="AU26" s="31">
        <f t="shared" si="13"/>
        <v>25572.096875000003</v>
      </c>
      <c r="AV26" s="16">
        <v>43069.010488</v>
      </c>
      <c r="AW26" s="16"/>
      <c r="AX26" s="16">
        <v>711.28526099999999</v>
      </c>
      <c r="AY26" s="16">
        <v>5489.4742020000003</v>
      </c>
      <c r="AZ26" s="16">
        <f t="shared" si="2"/>
        <v>49269.769950999995</v>
      </c>
      <c r="BA26" s="16">
        <v>2088.924837</v>
      </c>
      <c r="BB26" s="16">
        <v>272.75910800000003</v>
      </c>
      <c r="BC26" s="16">
        <v>5685.6760860000004</v>
      </c>
      <c r="BD26" s="16">
        <f t="shared" si="3"/>
        <v>8047.3600310000002</v>
      </c>
      <c r="BE26" s="16">
        <f t="shared" si="4"/>
        <v>57317.129981999999</v>
      </c>
    </row>
    <row r="27" spans="1:57" ht="15.75" customHeight="1" x14ac:dyDescent="0.2">
      <c r="A27" s="8" t="s">
        <v>71</v>
      </c>
      <c r="B27" s="19">
        <f t="shared" ref="B27:F27" si="14">SUM(B28:B43)</f>
        <v>495299.65299999993</v>
      </c>
      <c r="C27" s="19">
        <f t="shared" si="14"/>
        <v>2862.9908310000001</v>
      </c>
      <c r="D27" s="19">
        <f t="shared" si="14"/>
        <v>0</v>
      </c>
      <c r="E27" s="19">
        <f t="shared" si="14"/>
        <v>0</v>
      </c>
      <c r="F27" s="19">
        <f t="shared" si="14"/>
        <v>498162.64383099991</v>
      </c>
      <c r="G27" s="19">
        <f t="shared" ref="G27:AU27" si="15">SUM(G28:G43)</f>
        <v>561980.05755399994</v>
      </c>
      <c r="H27" s="19">
        <f t="shared" si="15"/>
        <v>3792.2863048000004</v>
      </c>
      <c r="I27" s="19">
        <f t="shared" si="15"/>
        <v>0</v>
      </c>
      <c r="J27" s="19">
        <f t="shared" si="15"/>
        <v>0</v>
      </c>
      <c r="K27" s="19">
        <f t="shared" si="15"/>
        <v>565772.34385880001</v>
      </c>
      <c r="L27" s="19">
        <f t="shared" si="15"/>
        <v>595983.51931600005</v>
      </c>
      <c r="M27" s="19">
        <f t="shared" si="15"/>
        <v>8228.6882750000004</v>
      </c>
      <c r="N27" s="19">
        <f t="shared" si="15"/>
        <v>0</v>
      </c>
      <c r="O27" s="19">
        <f t="shared" si="15"/>
        <v>0</v>
      </c>
      <c r="P27" s="19">
        <f t="shared" si="15"/>
        <v>604212.2075909999</v>
      </c>
      <c r="Q27" s="19">
        <f t="shared" si="15"/>
        <v>614562.66327300004</v>
      </c>
      <c r="R27" s="19">
        <f t="shared" si="15"/>
        <v>8751.8760039999997</v>
      </c>
      <c r="S27" s="19">
        <f t="shared" si="15"/>
        <v>0</v>
      </c>
      <c r="T27" s="19">
        <f t="shared" si="15"/>
        <v>0</v>
      </c>
      <c r="U27" s="19">
        <f t="shared" si="15"/>
        <v>623314.539277</v>
      </c>
      <c r="V27" s="19">
        <f t="shared" si="15"/>
        <v>649523.37843499996</v>
      </c>
      <c r="W27" s="19">
        <f t="shared" si="15"/>
        <v>11739.227817000001</v>
      </c>
      <c r="X27" s="19">
        <f t="shared" si="15"/>
        <v>0</v>
      </c>
      <c r="Y27" s="19">
        <f t="shared" si="15"/>
        <v>0</v>
      </c>
      <c r="Z27" s="19">
        <f t="shared" si="15"/>
        <v>661262.60625200009</v>
      </c>
      <c r="AA27" s="19">
        <f t="shared" si="15"/>
        <v>674714.31593200006</v>
      </c>
      <c r="AB27" s="19">
        <f t="shared" si="15"/>
        <v>13874.678711999999</v>
      </c>
      <c r="AC27" s="19">
        <f t="shared" si="15"/>
        <v>0</v>
      </c>
      <c r="AD27" s="19">
        <f t="shared" si="15"/>
        <v>0</v>
      </c>
      <c r="AE27" s="19">
        <f t="shared" si="15"/>
        <v>688588.99464399985</v>
      </c>
      <c r="AF27" s="19">
        <f t="shared" si="15"/>
        <v>709231.39123499999</v>
      </c>
      <c r="AG27" s="19">
        <f t="shared" si="15"/>
        <v>15116.905463000001</v>
      </c>
      <c r="AH27" s="19">
        <f t="shared" si="15"/>
        <v>0</v>
      </c>
      <c r="AI27" s="19">
        <f t="shared" si="15"/>
        <v>0</v>
      </c>
      <c r="AJ27" s="19">
        <f t="shared" si="15"/>
        <v>724348.29669800005</v>
      </c>
      <c r="AK27" s="19">
        <f t="shared" si="15"/>
        <v>758173.87135300005</v>
      </c>
      <c r="AL27" s="19">
        <f t="shared" si="15"/>
        <v>0</v>
      </c>
      <c r="AM27" s="19">
        <f t="shared" si="15"/>
        <v>18931.763081000005</v>
      </c>
      <c r="AN27" s="19">
        <f t="shared" si="15"/>
        <v>9965.9749120000015</v>
      </c>
      <c r="AO27" s="19">
        <f t="shared" si="15"/>
        <v>4894.6310400000002</v>
      </c>
      <c r="AP27" s="19">
        <f t="shared" si="15"/>
        <v>0</v>
      </c>
      <c r="AQ27" s="19">
        <f t="shared" si="15"/>
        <v>6762.8580789999996</v>
      </c>
      <c r="AR27" s="19">
        <f t="shared" si="15"/>
        <v>798729.09846499981</v>
      </c>
      <c r="AS27" s="19">
        <f t="shared" si="15"/>
        <v>0</v>
      </c>
      <c r="AT27" s="19">
        <f t="shared" si="15"/>
        <v>0</v>
      </c>
      <c r="AU27" s="19">
        <f t="shared" si="15"/>
        <v>798729.09846499981</v>
      </c>
      <c r="AV27" s="15">
        <f t="shared" ref="AV27:AY27" si="16">SUM(AV28:AV43)</f>
        <v>1163752.050789</v>
      </c>
      <c r="AW27" s="15">
        <f t="shared" si="16"/>
        <v>0</v>
      </c>
      <c r="AX27" s="15">
        <f t="shared" si="16"/>
        <v>14974.529633</v>
      </c>
      <c r="AY27" s="15">
        <f t="shared" si="16"/>
        <v>9262.0937259999992</v>
      </c>
      <c r="AZ27" s="15">
        <f t="shared" si="2"/>
        <v>1187988.6741480001</v>
      </c>
      <c r="BA27" s="15">
        <f>SUM(BA28:BA43)</f>
        <v>0</v>
      </c>
      <c r="BB27" s="15">
        <f>SUM(BB28:BB43)</f>
        <v>4655.5287239999998</v>
      </c>
      <c r="BC27" s="15">
        <f>SUM(BC28:BC43)</f>
        <v>20419.602978999996</v>
      </c>
      <c r="BD27" s="15">
        <f t="shared" si="3"/>
        <v>25075.131702999995</v>
      </c>
      <c r="BE27" s="15">
        <f t="shared" si="4"/>
        <v>1213063.8058510001</v>
      </c>
    </row>
    <row r="28" spans="1:57" ht="12.75" customHeight="1" x14ac:dyDescent="0.2">
      <c r="A28" s="12" t="s">
        <v>72</v>
      </c>
      <c r="B28" s="31">
        <v>126121.38799999999</v>
      </c>
      <c r="C28" s="31">
        <v>444.65192500000001</v>
      </c>
      <c r="D28" s="31"/>
      <c r="E28" s="31">
        <v>0</v>
      </c>
      <c r="F28" s="31">
        <f t="shared" ref="F28:F43" si="17">+SUM(B28:E28)</f>
        <v>126566.03992499999</v>
      </c>
      <c r="G28" s="31">
        <v>139699.60456000001</v>
      </c>
      <c r="H28" s="31">
        <v>537.76408600000002</v>
      </c>
      <c r="I28" s="31"/>
      <c r="J28" s="31">
        <v>0</v>
      </c>
      <c r="K28" s="31">
        <f t="shared" ref="K28:K43" si="18">+SUM(G28:J28)</f>
        <v>140237.36864600002</v>
      </c>
      <c r="L28" s="31">
        <v>150501.45028699999</v>
      </c>
      <c r="M28" s="31">
        <v>944.48744999999997</v>
      </c>
      <c r="N28" s="31"/>
      <c r="O28" s="31">
        <v>0</v>
      </c>
      <c r="P28" s="31">
        <f t="shared" ref="P28:P43" si="19">+SUM(L28:O28)</f>
        <v>151445.93773699997</v>
      </c>
      <c r="Q28" s="31">
        <v>157089.03066799999</v>
      </c>
      <c r="R28" s="31">
        <v>585.83753100000001</v>
      </c>
      <c r="S28" s="31"/>
      <c r="T28" s="31">
        <v>0</v>
      </c>
      <c r="U28" s="31">
        <f t="shared" ref="U28:U43" si="20">+SUM(Q28:T28)</f>
        <v>157674.86819899999</v>
      </c>
      <c r="V28" s="31">
        <v>165695.14228500001</v>
      </c>
      <c r="W28" s="31">
        <v>1318.83349</v>
      </c>
      <c r="X28" s="31"/>
      <c r="Y28" s="31">
        <v>0</v>
      </c>
      <c r="Z28" s="31">
        <f t="shared" ref="Z28:Z43" si="21">+SUM(V28:Y28)</f>
        <v>167013.975775</v>
      </c>
      <c r="AA28" s="31">
        <v>171541.260755</v>
      </c>
      <c r="AB28" s="31">
        <v>1165.241839</v>
      </c>
      <c r="AC28" s="31"/>
      <c r="AD28" s="31">
        <v>0</v>
      </c>
      <c r="AE28" s="31">
        <f t="shared" ref="AE28:AE43" si="22">+SUM(AA28:AD28)</f>
        <v>172706.50259399999</v>
      </c>
      <c r="AF28" s="31">
        <v>180118.32379299999</v>
      </c>
      <c r="AG28" s="31">
        <v>1193.9922570000001</v>
      </c>
      <c r="AH28" s="31"/>
      <c r="AI28" s="31">
        <v>0</v>
      </c>
      <c r="AJ28" s="31">
        <f t="shared" ref="AJ28:AJ43" si="23">+SUM(AF28:AI28)</f>
        <v>181312.31604999999</v>
      </c>
      <c r="AK28" s="31">
        <f>190371.414636</f>
        <v>190371.414636</v>
      </c>
      <c r="AL28" s="31"/>
      <c r="AM28" s="31">
        <f>4842.824217</f>
        <v>4842.8242170000003</v>
      </c>
      <c r="AN28" s="31">
        <v>2537.7169669999998</v>
      </c>
      <c r="AO28" s="31">
        <v>596.93468600000006</v>
      </c>
      <c r="AP28" s="31"/>
      <c r="AQ28" s="31">
        <v>512.86938899999996</v>
      </c>
      <c r="AR28" s="31">
        <f t="shared" ref="AR28:AR43" si="24">+SUM(AK28:AQ28)</f>
        <v>198861.75989499997</v>
      </c>
      <c r="AS28" s="31"/>
      <c r="AT28" s="31">
        <v>0</v>
      </c>
      <c r="AU28" s="31">
        <f t="shared" ref="AU28:AU43" si="25">+AR28+AT28</f>
        <v>198861.75989499997</v>
      </c>
      <c r="AV28" s="16">
        <v>282302.97725900001</v>
      </c>
      <c r="AW28" s="16"/>
      <c r="AX28" s="31">
        <v>1314.170858</v>
      </c>
      <c r="AY28" s="16">
        <v>1274.2406900000001</v>
      </c>
      <c r="AZ28" s="16">
        <f t="shared" si="2"/>
        <v>284891.38880700001</v>
      </c>
      <c r="BA28" s="16"/>
      <c r="BB28" s="16">
        <v>507.57243299999999</v>
      </c>
      <c r="BC28" s="16">
        <v>8752.2748379999994</v>
      </c>
      <c r="BD28" s="16">
        <f t="shared" si="3"/>
        <v>9259.8472709999987</v>
      </c>
      <c r="BE28" s="16">
        <f t="shared" si="4"/>
        <v>294151.23607799999</v>
      </c>
    </row>
    <row r="29" spans="1:57" ht="12.75" customHeight="1" x14ac:dyDescent="0.2">
      <c r="A29" s="12" t="s">
        <v>73</v>
      </c>
      <c r="B29" s="31">
        <v>36078.266000000003</v>
      </c>
      <c r="C29" s="31">
        <v>129.42891499999999</v>
      </c>
      <c r="D29" s="31"/>
      <c r="E29" s="31">
        <v>0</v>
      </c>
      <c r="F29" s="31">
        <f t="shared" si="17"/>
        <v>36207.694915</v>
      </c>
      <c r="G29" s="31">
        <v>40108.724097999999</v>
      </c>
      <c r="H29" s="31">
        <v>186.29159799999999</v>
      </c>
      <c r="I29" s="31"/>
      <c r="J29" s="31">
        <v>0</v>
      </c>
      <c r="K29" s="31">
        <f t="shared" si="18"/>
        <v>40295.015696000002</v>
      </c>
      <c r="L29" s="31">
        <v>41935.255981000002</v>
      </c>
      <c r="M29" s="31">
        <v>729.84646999999995</v>
      </c>
      <c r="N29" s="31"/>
      <c r="O29" s="31">
        <v>0</v>
      </c>
      <c r="P29" s="31">
        <f t="shared" si="19"/>
        <v>42665.102450999999</v>
      </c>
      <c r="Q29" s="31">
        <v>43525.774269000001</v>
      </c>
      <c r="R29" s="31">
        <v>110.82671999999999</v>
      </c>
      <c r="S29" s="31"/>
      <c r="T29" s="31">
        <v>0</v>
      </c>
      <c r="U29" s="31">
        <f t="shared" si="20"/>
        <v>43636.600988999999</v>
      </c>
      <c r="V29" s="31">
        <v>45910.326442999998</v>
      </c>
      <c r="W29" s="31">
        <v>610.32529299999999</v>
      </c>
      <c r="X29" s="31"/>
      <c r="Y29" s="31">
        <v>0</v>
      </c>
      <c r="Z29" s="31">
        <f t="shared" si="21"/>
        <v>46520.651736</v>
      </c>
      <c r="AA29" s="31">
        <v>47730.151886</v>
      </c>
      <c r="AB29" s="31">
        <v>1095.984702</v>
      </c>
      <c r="AC29" s="31"/>
      <c r="AD29" s="31">
        <v>0</v>
      </c>
      <c r="AE29" s="31">
        <f t="shared" si="22"/>
        <v>48826.136588000001</v>
      </c>
      <c r="AF29" s="31">
        <v>50116.567479999998</v>
      </c>
      <c r="AG29" s="31">
        <v>717.29303500000003</v>
      </c>
      <c r="AH29" s="31"/>
      <c r="AI29" s="31">
        <v>0</v>
      </c>
      <c r="AJ29" s="31">
        <f t="shared" si="23"/>
        <v>50833.860515</v>
      </c>
      <c r="AK29" s="31">
        <f>52965.960968</f>
        <v>52965.960967999999</v>
      </c>
      <c r="AL29" s="31"/>
      <c r="AM29" s="31">
        <f>1340.835601</f>
        <v>1340.835601</v>
      </c>
      <c r="AN29" s="31">
        <v>705.41661799999997</v>
      </c>
      <c r="AO29" s="31">
        <v>156.34517500000001</v>
      </c>
      <c r="AP29" s="31"/>
      <c r="AQ29" s="31">
        <v>387.28228300000001</v>
      </c>
      <c r="AR29" s="31">
        <f t="shared" si="24"/>
        <v>55555.840645000004</v>
      </c>
      <c r="AS29" s="31"/>
      <c r="AT29" s="31">
        <v>0</v>
      </c>
      <c r="AU29" s="31">
        <f t="shared" si="25"/>
        <v>55555.840645000004</v>
      </c>
      <c r="AV29" s="16">
        <v>74141.637596</v>
      </c>
      <c r="AW29" s="16"/>
      <c r="AX29" s="31">
        <v>902.07425699999999</v>
      </c>
      <c r="AY29" s="16">
        <v>643.581501</v>
      </c>
      <c r="AZ29" s="16">
        <f t="shared" si="2"/>
        <v>75687.293353999994</v>
      </c>
      <c r="BA29" s="16"/>
      <c r="BB29" s="16">
        <v>309.24543699999998</v>
      </c>
      <c r="BC29" s="16">
        <v>0</v>
      </c>
      <c r="BD29" s="16">
        <f t="shared" si="3"/>
        <v>309.24543699999998</v>
      </c>
      <c r="BE29" s="16">
        <f t="shared" si="4"/>
        <v>75996.538790999999</v>
      </c>
    </row>
    <row r="30" spans="1:57" ht="12.75" customHeight="1" x14ac:dyDescent="0.2">
      <c r="A30" s="12" t="s">
        <v>74</v>
      </c>
      <c r="B30" s="31">
        <v>27068.831000000002</v>
      </c>
      <c r="C30" s="31">
        <v>133.286092</v>
      </c>
      <c r="D30" s="31"/>
      <c r="E30" s="31">
        <v>0</v>
      </c>
      <c r="F30" s="31">
        <f t="shared" si="17"/>
        <v>27202.117092</v>
      </c>
      <c r="G30" s="31">
        <v>30099.005473000001</v>
      </c>
      <c r="H30" s="31">
        <v>181.859275</v>
      </c>
      <c r="I30" s="31"/>
      <c r="J30" s="31">
        <v>0</v>
      </c>
      <c r="K30" s="31">
        <f t="shared" si="18"/>
        <v>30280.864748</v>
      </c>
      <c r="L30" s="31">
        <v>31852.185043999998</v>
      </c>
      <c r="M30" s="31">
        <v>548.89488600000004</v>
      </c>
      <c r="N30" s="31"/>
      <c r="O30" s="31">
        <v>0</v>
      </c>
      <c r="P30" s="31">
        <f t="shared" si="19"/>
        <v>32401.07993</v>
      </c>
      <c r="Q30" s="31">
        <v>32660.095465999999</v>
      </c>
      <c r="R30" s="31">
        <v>582.84721100000002</v>
      </c>
      <c r="S30" s="31"/>
      <c r="T30" s="31">
        <v>0</v>
      </c>
      <c r="U30" s="31">
        <f t="shared" si="20"/>
        <v>33242.942676999999</v>
      </c>
      <c r="V30" s="31">
        <v>34449.372384000002</v>
      </c>
      <c r="W30" s="31">
        <v>744.37574199999995</v>
      </c>
      <c r="X30" s="31"/>
      <c r="Y30" s="31">
        <v>0</v>
      </c>
      <c r="Z30" s="31">
        <f t="shared" si="21"/>
        <v>35193.748125999999</v>
      </c>
      <c r="AA30" s="31">
        <v>35664.828126</v>
      </c>
      <c r="AB30" s="31">
        <v>981.31696699999998</v>
      </c>
      <c r="AC30" s="31"/>
      <c r="AD30" s="31">
        <v>0</v>
      </c>
      <c r="AE30" s="31">
        <f t="shared" si="22"/>
        <v>36646.145092999999</v>
      </c>
      <c r="AF30" s="31">
        <v>37448.069532000001</v>
      </c>
      <c r="AG30" s="31">
        <v>770.172325</v>
      </c>
      <c r="AH30" s="31"/>
      <c r="AI30" s="31">
        <v>0</v>
      </c>
      <c r="AJ30" s="31">
        <f t="shared" si="23"/>
        <v>38218.241857000001</v>
      </c>
      <c r="AK30" s="31">
        <f>39579.770798</f>
        <v>39579.770797999998</v>
      </c>
      <c r="AL30" s="31"/>
      <c r="AM30" s="31">
        <f>1006.862679</f>
        <v>1006.862679</v>
      </c>
      <c r="AN30" s="31">
        <v>527.61206900000002</v>
      </c>
      <c r="AO30" s="31">
        <v>65.478100999999995</v>
      </c>
      <c r="AP30" s="31"/>
      <c r="AQ30" s="31">
        <v>413.05198799999999</v>
      </c>
      <c r="AR30" s="31">
        <f t="shared" si="24"/>
        <v>41592.775634999998</v>
      </c>
      <c r="AS30" s="31"/>
      <c r="AT30" s="31">
        <v>0</v>
      </c>
      <c r="AU30" s="31">
        <f t="shared" si="25"/>
        <v>41592.775634999998</v>
      </c>
      <c r="AV30" s="16">
        <v>58319.526440000001</v>
      </c>
      <c r="AW30" s="16"/>
      <c r="AX30" s="31">
        <v>933.86725999999999</v>
      </c>
      <c r="AY30" s="16">
        <v>134.52374900000001</v>
      </c>
      <c r="AZ30" s="16">
        <f t="shared" si="2"/>
        <v>59387.917449</v>
      </c>
      <c r="BA30" s="16"/>
      <c r="BB30" s="16">
        <v>203.30817300000001</v>
      </c>
      <c r="BC30" s="16">
        <v>0</v>
      </c>
      <c r="BD30" s="16">
        <f t="shared" si="3"/>
        <v>203.30817300000001</v>
      </c>
      <c r="BE30" s="16">
        <f t="shared" si="4"/>
        <v>59591.225621999998</v>
      </c>
    </row>
    <row r="31" spans="1:57" s="24" customFormat="1" ht="12.75" customHeight="1" x14ac:dyDescent="0.2">
      <c r="A31" s="22" t="s">
        <v>75</v>
      </c>
      <c r="B31" s="33">
        <v>12580.081</v>
      </c>
      <c r="C31" s="33">
        <v>155.44841400000001</v>
      </c>
      <c r="D31" s="33"/>
      <c r="E31" s="33">
        <v>0</v>
      </c>
      <c r="F31" s="33">
        <f t="shared" si="17"/>
        <v>12735.529414000001</v>
      </c>
      <c r="G31" s="33">
        <v>13891.379448</v>
      </c>
      <c r="H31" s="33">
        <v>373.645667</v>
      </c>
      <c r="I31" s="33"/>
      <c r="J31" s="33">
        <v>0</v>
      </c>
      <c r="K31" s="33">
        <f t="shared" si="18"/>
        <v>14265.025115</v>
      </c>
      <c r="L31" s="33">
        <v>14905.552906999999</v>
      </c>
      <c r="M31" s="33">
        <v>357.83744300000001</v>
      </c>
      <c r="N31" s="33"/>
      <c r="O31" s="33">
        <v>0</v>
      </c>
      <c r="P31" s="33">
        <f t="shared" si="19"/>
        <v>15263.39035</v>
      </c>
      <c r="Q31" s="33">
        <v>15123.196602</v>
      </c>
      <c r="R31" s="33">
        <v>544.67396099999996</v>
      </c>
      <c r="S31" s="33"/>
      <c r="T31" s="33">
        <v>0</v>
      </c>
      <c r="U31" s="33">
        <f t="shared" si="20"/>
        <v>15667.870563</v>
      </c>
      <c r="V31" s="33">
        <v>16485.717928999999</v>
      </c>
      <c r="W31" s="33">
        <v>869.64137600000004</v>
      </c>
      <c r="X31" s="33"/>
      <c r="Y31" s="33">
        <v>0</v>
      </c>
      <c r="Z31" s="33">
        <f t="shared" si="21"/>
        <v>17355.359304999998</v>
      </c>
      <c r="AA31" s="33">
        <v>17569.932454000002</v>
      </c>
      <c r="AB31" s="33">
        <v>1210.652437</v>
      </c>
      <c r="AC31" s="33"/>
      <c r="AD31" s="33">
        <v>0</v>
      </c>
      <c r="AE31" s="33">
        <f t="shared" si="22"/>
        <v>18780.584891000002</v>
      </c>
      <c r="AF31" s="33">
        <v>18448.429076</v>
      </c>
      <c r="AG31" s="33">
        <v>1032.2585200000001</v>
      </c>
      <c r="AH31" s="33"/>
      <c r="AI31" s="33">
        <v>0</v>
      </c>
      <c r="AJ31" s="33">
        <f t="shared" si="23"/>
        <v>19480.687596</v>
      </c>
      <c r="AK31" s="33">
        <f>20416.024187+2000</f>
        <v>22416.024186999999</v>
      </c>
      <c r="AL31" s="33"/>
      <c r="AM31" s="33">
        <f>460.130895</f>
        <v>460.13089500000001</v>
      </c>
      <c r="AN31" s="33">
        <v>256.22221100000002</v>
      </c>
      <c r="AO31" s="33">
        <v>962.78013399999998</v>
      </c>
      <c r="AP31" s="33"/>
      <c r="AQ31" s="33">
        <v>420.81143300000002</v>
      </c>
      <c r="AR31" s="33">
        <f t="shared" si="24"/>
        <v>24515.968859999997</v>
      </c>
      <c r="AS31" s="33"/>
      <c r="AT31" s="33">
        <v>0</v>
      </c>
      <c r="AU31" s="33">
        <f t="shared" si="25"/>
        <v>24515.968859999997</v>
      </c>
      <c r="AV31" s="23">
        <v>38404.025442999999</v>
      </c>
      <c r="AW31" s="23"/>
      <c r="AX31" s="31">
        <v>1062.9559200000001</v>
      </c>
      <c r="AY31" s="23">
        <v>635.80595900000003</v>
      </c>
      <c r="AZ31" s="23">
        <f t="shared" si="2"/>
        <v>40102.787321999996</v>
      </c>
      <c r="BA31" s="23"/>
      <c r="BB31" s="23">
        <v>465.05792700000001</v>
      </c>
      <c r="BC31" s="23">
        <v>974.23443299999997</v>
      </c>
      <c r="BD31" s="23">
        <f t="shared" si="3"/>
        <v>1439.2923599999999</v>
      </c>
      <c r="BE31" s="23">
        <f t="shared" si="4"/>
        <v>41542.079681999996</v>
      </c>
    </row>
    <row r="32" spans="1:57" ht="12.75" customHeight="1" x14ac:dyDescent="0.2">
      <c r="A32" s="12" t="s">
        <v>76</v>
      </c>
      <c r="B32" s="31">
        <v>51674.288</v>
      </c>
      <c r="C32" s="31">
        <v>124.316362</v>
      </c>
      <c r="D32" s="31"/>
      <c r="E32" s="31">
        <v>0</v>
      </c>
      <c r="F32" s="31">
        <f t="shared" si="17"/>
        <v>51798.604361999998</v>
      </c>
      <c r="G32" s="31">
        <v>57789.401168999997</v>
      </c>
      <c r="H32" s="31">
        <v>139.740015</v>
      </c>
      <c r="I32" s="31"/>
      <c r="J32" s="31">
        <v>0</v>
      </c>
      <c r="K32" s="31">
        <f t="shared" si="18"/>
        <v>57929.141184</v>
      </c>
      <c r="L32" s="31">
        <v>59534.247119000007</v>
      </c>
      <c r="M32" s="31">
        <v>94.448745000000002</v>
      </c>
      <c r="N32" s="31"/>
      <c r="O32" s="31">
        <v>0</v>
      </c>
      <c r="P32" s="31">
        <f t="shared" si="19"/>
        <v>59628.695864000008</v>
      </c>
      <c r="Q32" s="31">
        <v>62536.821483000007</v>
      </c>
      <c r="R32" s="31">
        <v>285.07182299999999</v>
      </c>
      <c r="S32" s="31"/>
      <c r="T32" s="31">
        <v>0</v>
      </c>
      <c r="U32" s="31">
        <f t="shared" si="20"/>
        <v>62821.893306000005</v>
      </c>
      <c r="V32" s="31">
        <v>65962.888842</v>
      </c>
      <c r="W32" s="31">
        <v>329.26218499999999</v>
      </c>
      <c r="X32" s="31"/>
      <c r="Y32" s="31">
        <v>0</v>
      </c>
      <c r="Z32" s="31">
        <f t="shared" si="21"/>
        <v>66292.151027</v>
      </c>
      <c r="AA32" s="31">
        <v>68958.2</v>
      </c>
      <c r="AB32" s="31">
        <v>334.01090399999998</v>
      </c>
      <c r="AC32" s="31"/>
      <c r="AD32" s="31">
        <v>0</v>
      </c>
      <c r="AE32" s="31">
        <f t="shared" si="22"/>
        <v>69292.210903999992</v>
      </c>
      <c r="AF32" s="31">
        <v>73187.57200900001</v>
      </c>
      <c r="AG32" s="31">
        <v>741.42241999999999</v>
      </c>
      <c r="AH32" s="31"/>
      <c r="AI32" s="31">
        <v>0</v>
      </c>
      <c r="AJ32" s="31">
        <f t="shared" si="23"/>
        <v>73928.994429000013</v>
      </c>
      <c r="AK32" s="31">
        <f>75786.461142</f>
        <v>75786.461142</v>
      </c>
      <c r="AL32" s="31"/>
      <c r="AM32" s="31">
        <f>1927.91817</f>
        <v>1927.9181699999999</v>
      </c>
      <c r="AN32" s="31">
        <v>1010.259805</v>
      </c>
      <c r="AO32" s="31">
        <v>13.283175</v>
      </c>
      <c r="AP32" s="31"/>
      <c r="AQ32" s="31">
        <v>340.350956</v>
      </c>
      <c r="AR32" s="31">
        <f t="shared" si="24"/>
        <v>79078.273247999998</v>
      </c>
      <c r="AS32" s="31"/>
      <c r="AT32" s="31">
        <v>0</v>
      </c>
      <c r="AU32" s="31">
        <f t="shared" si="25"/>
        <v>79078.273247999998</v>
      </c>
      <c r="AV32" s="16">
        <v>107180.98601399999</v>
      </c>
      <c r="AW32" s="16"/>
      <c r="AX32" s="31">
        <v>743.25746000000004</v>
      </c>
      <c r="AY32" s="16">
        <v>35.727992</v>
      </c>
      <c r="AZ32" s="16">
        <f t="shared" si="2"/>
        <v>107959.97146599999</v>
      </c>
      <c r="BA32" s="16"/>
      <c r="BB32" s="16">
        <v>181.606739</v>
      </c>
      <c r="BC32" s="16">
        <v>1216.90452</v>
      </c>
      <c r="BD32" s="16">
        <f t="shared" si="3"/>
        <v>1398.5112590000001</v>
      </c>
      <c r="BE32" s="16">
        <f t="shared" si="4"/>
        <v>109358.48272499999</v>
      </c>
    </row>
    <row r="33" spans="1:57" ht="12.75" customHeight="1" x14ac:dyDescent="0.2">
      <c r="A33" s="12" t="s">
        <v>77</v>
      </c>
      <c r="B33" s="31">
        <v>22617.839</v>
      </c>
      <c r="C33" s="31">
        <v>160.240905</v>
      </c>
      <c r="D33" s="31"/>
      <c r="E33" s="31">
        <v>0</v>
      </c>
      <c r="F33" s="31">
        <f t="shared" si="17"/>
        <v>22778.079904999999</v>
      </c>
      <c r="G33" s="31">
        <v>24908.940151999999</v>
      </c>
      <c r="H33" s="31">
        <v>160.652389</v>
      </c>
      <c r="I33" s="31"/>
      <c r="J33" s="31">
        <v>0</v>
      </c>
      <c r="K33" s="31">
        <f t="shared" si="18"/>
        <v>25069.592540999998</v>
      </c>
      <c r="L33" s="31">
        <v>27033.165111000002</v>
      </c>
      <c r="M33" s="31">
        <v>396.77913699999999</v>
      </c>
      <c r="N33" s="31"/>
      <c r="O33" s="31">
        <v>0</v>
      </c>
      <c r="P33" s="31">
        <f t="shared" si="19"/>
        <v>27429.944248000003</v>
      </c>
      <c r="Q33" s="31">
        <v>27152.141384000002</v>
      </c>
      <c r="R33" s="31">
        <v>499.16682100000003</v>
      </c>
      <c r="S33" s="31"/>
      <c r="T33" s="31">
        <v>0</v>
      </c>
      <c r="U33" s="31">
        <f t="shared" si="20"/>
        <v>27651.308205000001</v>
      </c>
      <c r="V33" s="31">
        <v>28639.666064000001</v>
      </c>
      <c r="W33" s="31">
        <v>705.32064300000002</v>
      </c>
      <c r="X33" s="31"/>
      <c r="Y33" s="31">
        <v>0</v>
      </c>
      <c r="Z33" s="31">
        <f t="shared" si="21"/>
        <v>29344.986707</v>
      </c>
      <c r="AA33" s="31">
        <v>29650.141557999999</v>
      </c>
      <c r="AB33" s="31">
        <v>462.81408699999997</v>
      </c>
      <c r="AC33" s="31"/>
      <c r="AD33" s="31">
        <v>0</v>
      </c>
      <c r="AE33" s="31">
        <f t="shared" si="22"/>
        <v>30112.955644999998</v>
      </c>
      <c r="AF33" s="31">
        <v>31132.648636000002</v>
      </c>
      <c r="AG33" s="31">
        <v>767.86206500000003</v>
      </c>
      <c r="AH33" s="31"/>
      <c r="AI33" s="31">
        <v>0</v>
      </c>
      <c r="AJ33" s="31">
        <f t="shared" si="23"/>
        <v>31900.510701000003</v>
      </c>
      <c r="AK33" s="31">
        <f>32904.849642+219.350764</f>
        <v>33124.200406000004</v>
      </c>
      <c r="AL33" s="31"/>
      <c r="AM33" s="31">
        <f>837.060558</f>
        <v>837.06055800000001</v>
      </c>
      <c r="AN33" s="31">
        <v>438.63305500000001</v>
      </c>
      <c r="AO33" s="31">
        <v>486.12048700000003</v>
      </c>
      <c r="AP33" s="31"/>
      <c r="AQ33" s="31">
        <v>412.59048999999999</v>
      </c>
      <c r="AR33" s="31">
        <f t="shared" si="24"/>
        <v>35298.604996000002</v>
      </c>
      <c r="AS33" s="31"/>
      <c r="AT33" s="31">
        <v>0</v>
      </c>
      <c r="AU33" s="31">
        <f t="shared" si="25"/>
        <v>35298.604996000002</v>
      </c>
      <c r="AV33" s="16">
        <v>52331.761621999998</v>
      </c>
      <c r="AW33" s="16"/>
      <c r="AX33" s="31">
        <v>912.69849199999999</v>
      </c>
      <c r="AY33" s="16">
        <v>1051.0945730000001</v>
      </c>
      <c r="AZ33" s="16">
        <f t="shared" si="2"/>
        <v>54295.554687000003</v>
      </c>
      <c r="BA33" s="16"/>
      <c r="BB33" s="16">
        <v>287.82954799999999</v>
      </c>
      <c r="BC33" s="16">
        <v>1024.1342830000001</v>
      </c>
      <c r="BD33" s="16">
        <f t="shared" si="3"/>
        <v>1311.963831</v>
      </c>
      <c r="BE33" s="16">
        <f t="shared" si="4"/>
        <v>55607.518518000004</v>
      </c>
    </row>
    <row r="34" spans="1:57" ht="12.75" customHeight="1" x14ac:dyDescent="0.2">
      <c r="A34" s="12" t="s">
        <v>78</v>
      </c>
      <c r="B34" s="31">
        <v>17882.507000000001</v>
      </c>
      <c r="C34" s="31">
        <v>166.89833200000001</v>
      </c>
      <c r="D34" s="31"/>
      <c r="E34" s="31">
        <v>0</v>
      </c>
      <c r="F34" s="31">
        <f t="shared" si="17"/>
        <v>18049.405332000002</v>
      </c>
      <c r="G34" s="31">
        <v>20105.671634999999</v>
      </c>
      <c r="H34" s="31">
        <v>156.23438899999999</v>
      </c>
      <c r="I34" s="31"/>
      <c r="J34" s="31">
        <v>0</v>
      </c>
      <c r="K34" s="31">
        <f t="shared" si="18"/>
        <v>20261.906024</v>
      </c>
      <c r="L34" s="31">
        <v>21065.731679</v>
      </c>
      <c r="M34" s="31">
        <v>474.15445099999999</v>
      </c>
      <c r="N34" s="31"/>
      <c r="O34" s="31">
        <v>0</v>
      </c>
      <c r="P34" s="31">
        <f t="shared" si="19"/>
        <v>21539.886129999999</v>
      </c>
      <c r="Q34" s="31">
        <v>21702.720676000001</v>
      </c>
      <c r="R34" s="31">
        <v>833.40138000000002</v>
      </c>
      <c r="S34" s="31"/>
      <c r="T34" s="31">
        <v>0</v>
      </c>
      <c r="U34" s="31">
        <f t="shared" si="20"/>
        <v>22536.122056</v>
      </c>
      <c r="V34" s="31">
        <v>22891.699924</v>
      </c>
      <c r="W34" s="31">
        <v>702.22420799999998</v>
      </c>
      <c r="X34" s="31"/>
      <c r="Y34" s="31">
        <v>0</v>
      </c>
      <c r="Z34" s="31">
        <f t="shared" si="21"/>
        <v>23593.924132</v>
      </c>
      <c r="AA34" s="31">
        <v>23799.38351</v>
      </c>
      <c r="AB34" s="31">
        <v>1146.6773459999999</v>
      </c>
      <c r="AC34" s="31"/>
      <c r="AD34" s="31">
        <v>0</v>
      </c>
      <c r="AE34" s="31">
        <f t="shared" si="22"/>
        <v>24946.060856</v>
      </c>
      <c r="AF34" s="31">
        <v>24989.342185000001</v>
      </c>
      <c r="AG34" s="31">
        <v>1128.89274</v>
      </c>
      <c r="AH34" s="31"/>
      <c r="AI34" s="31">
        <v>0</v>
      </c>
      <c r="AJ34" s="31">
        <f t="shared" si="23"/>
        <v>26118.234925000001</v>
      </c>
      <c r="AK34" s="31">
        <f>27407.611537+238.197042</f>
        <v>27645.808579</v>
      </c>
      <c r="AL34" s="31"/>
      <c r="AM34" s="31">
        <f>668.562938</f>
        <v>668.56293800000003</v>
      </c>
      <c r="AN34" s="31">
        <v>351.736332</v>
      </c>
      <c r="AO34" s="31">
        <v>679.99836200000004</v>
      </c>
      <c r="AP34" s="31"/>
      <c r="AQ34" s="31">
        <v>448.039625</v>
      </c>
      <c r="AR34" s="31">
        <f t="shared" si="24"/>
        <v>29794.145836</v>
      </c>
      <c r="AS34" s="31"/>
      <c r="AT34" s="31">
        <v>0</v>
      </c>
      <c r="AU34" s="31">
        <f t="shared" si="25"/>
        <v>29794.145836</v>
      </c>
      <c r="AV34" s="16">
        <v>44744.274640000003</v>
      </c>
      <c r="AW34" s="16"/>
      <c r="AX34" s="31">
        <v>858.08352100000002</v>
      </c>
      <c r="AY34" s="16">
        <v>1487.288871</v>
      </c>
      <c r="AZ34" s="16">
        <f t="shared" si="2"/>
        <v>47089.647032000001</v>
      </c>
      <c r="BA34" s="16"/>
      <c r="BB34" s="16">
        <v>303.62971499999998</v>
      </c>
      <c r="BC34" s="16">
        <v>0</v>
      </c>
      <c r="BD34" s="16">
        <f t="shared" si="3"/>
        <v>303.62971499999998</v>
      </c>
      <c r="BE34" s="16">
        <f t="shared" si="4"/>
        <v>47393.276747000004</v>
      </c>
    </row>
    <row r="35" spans="1:57" ht="12.75" customHeight="1" x14ac:dyDescent="0.2">
      <c r="A35" s="12" t="s">
        <v>79</v>
      </c>
      <c r="B35" s="31">
        <v>97831.161999999997</v>
      </c>
      <c r="C35" s="31">
        <v>366.15829000000002</v>
      </c>
      <c r="D35" s="31"/>
      <c r="E35" s="31">
        <v>0</v>
      </c>
      <c r="F35" s="31">
        <f t="shared" si="17"/>
        <v>98197.320290000003</v>
      </c>
      <c r="G35" s="31">
        <v>107932.270664</v>
      </c>
      <c r="H35" s="31">
        <v>309.06745000000001</v>
      </c>
      <c r="I35" s="31"/>
      <c r="J35" s="31">
        <v>0</v>
      </c>
      <c r="K35" s="31">
        <f t="shared" si="18"/>
        <v>108241.338114</v>
      </c>
      <c r="L35" s="31">
        <v>113709.83478</v>
      </c>
      <c r="M35" s="31">
        <v>833.99090899999999</v>
      </c>
      <c r="N35" s="31"/>
      <c r="O35" s="31">
        <v>0</v>
      </c>
      <c r="P35" s="31">
        <f t="shared" si="19"/>
        <v>114543.825689</v>
      </c>
      <c r="Q35" s="31">
        <v>117553.048964</v>
      </c>
      <c r="R35" s="31">
        <v>655.49649499999998</v>
      </c>
      <c r="S35" s="31"/>
      <c r="T35" s="31">
        <v>0</v>
      </c>
      <c r="U35" s="31">
        <f t="shared" si="20"/>
        <v>118208.545459</v>
      </c>
      <c r="V35" s="31">
        <v>123993.169432</v>
      </c>
      <c r="W35" s="31">
        <v>1225.5354359999999</v>
      </c>
      <c r="X35" s="31"/>
      <c r="Y35" s="31">
        <v>0</v>
      </c>
      <c r="Z35" s="31">
        <f t="shared" si="21"/>
        <v>125218.704868</v>
      </c>
      <c r="AA35" s="31">
        <v>128367.943176</v>
      </c>
      <c r="AB35" s="31">
        <v>1426.991354</v>
      </c>
      <c r="AC35" s="31"/>
      <c r="AD35" s="31">
        <v>0</v>
      </c>
      <c r="AE35" s="31">
        <f t="shared" si="22"/>
        <v>129794.93453</v>
      </c>
      <c r="AF35" s="31">
        <v>134786.34033499999</v>
      </c>
      <c r="AG35" s="31">
        <v>1088.2336749999999</v>
      </c>
      <c r="AH35" s="31"/>
      <c r="AI35" s="31">
        <v>0</v>
      </c>
      <c r="AJ35" s="31">
        <f t="shared" si="23"/>
        <v>135874.57400999998</v>
      </c>
      <c r="AK35" s="31">
        <f>142458.944447</f>
        <v>142458.94444699999</v>
      </c>
      <c r="AL35" s="31"/>
      <c r="AM35" s="31">
        <f>3623.987495</f>
        <v>3623.9874949999999</v>
      </c>
      <c r="AN35" s="31">
        <v>1899.027126</v>
      </c>
      <c r="AO35" s="31">
        <v>508.71972399999999</v>
      </c>
      <c r="AP35" s="31"/>
      <c r="AQ35" s="31">
        <v>520.37175300000001</v>
      </c>
      <c r="AR35" s="31">
        <f t="shared" si="24"/>
        <v>149011.05054500001</v>
      </c>
      <c r="AS35" s="31"/>
      <c r="AT35" s="31">
        <v>0</v>
      </c>
      <c r="AU35" s="31">
        <f t="shared" si="25"/>
        <v>149011.05054500001</v>
      </c>
      <c r="AV35" s="16">
        <v>210491.41224199999</v>
      </c>
      <c r="AW35" s="16"/>
      <c r="AX35" s="31">
        <v>1175.8167619999999</v>
      </c>
      <c r="AY35" s="16">
        <v>756.54649300000005</v>
      </c>
      <c r="AZ35" s="16">
        <f t="shared" si="2"/>
        <v>212423.775497</v>
      </c>
      <c r="BA35" s="16"/>
      <c r="BB35" s="16">
        <v>539.96594800000003</v>
      </c>
      <c r="BC35" s="16">
        <v>1356.542825</v>
      </c>
      <c r="BD35" s="16">
        <f t="shared" si="3"/>
        <v>1896.508773</v>
      </c>
      <c r="BE35" s="16">
        <f t="shared" si="4"/>
        <v>214320.28427</v>
      </c>
    </row>
    <row r="36" spans="1:57" ht="12.75" customHeight="1" x14ac:dyDescent="0.2">
      <c r="A36" s="12" t="s">
        <v>80</v>
      </c>
      <c r="B36" s="31">
        <v>7608.1879999999992</v>
      </c>
      <c r="C36" s="31">
        <v>141.68063000000001</v>
      </c>
      <c r="D36" s="31"/>
      <c r="E36" s="31">
        <v>0</v>
      </c>
      <c r="F36" s="31">
        <f t="shared" si="17"/>
        <v>7749.868629999999</v>
      </c>
      <c r="G36" s="31">
        <v>8377.0570220000009</v>
      </c>
      <c r="H36" s="31">
        <v>138.68724700000001</v>
      </c>
      <c r="I36" s="31"/>
      <c r="J36" s="31">
        <v>0</v>
      </c>
      <c r="K36" s="31">
        <f t="shared" si="18"/>
        <v>8515.7442690000007</v>
      </c>
      <c r="L36" s="31">
        <v>9001.2327139999998</v>
      </c>
      <c r="M36" s="31">
        <v>301.96745800000002</v>
      </c>
      <c r="N36" s="31"/>
      <c r="O36" s="31">
        <v>0</v>
      </c>
      <c r="P36" s="31">
        <f t="shared" si="19"/>
        <v>9303.2001719999989</v>
      </c>
      <c r="Q36" s="31">
        <v>9132.4015069999987</v>
      </c>
      <c r="R36" s="31">
        <v>710.61974599999996</v>
      </c>
      <c r="S36" s="31"/>
      <c r="T36" s="31">
        <v>0</v>
      </c>
      <c r="U36" s="31">
        <f t="shared" si="20"/>
        <v>9843.021252999999</v>
      </c>
      <c r="V36" s="31">
        <v>9632.7183120000009</v>
      </c>
      <c r="W36" s="31">
        <v>839.58792900000003</v>
      </c>
      <c r="X36" s="31"/>
      <c r="Y36" s="31">
        <v>0</v>
      </c>
      <c r="Z36" s="31">
        <f t="shared" si="21"/>
        <v>10472.306241</v>
      </c>
      <c r="AA36" s="31">
        <v>9972.5835100000004</v>
      </c>
      <c r="AB36" s="31">
        <v>912.34572700000001</v>
      </c>
      <c r="AC36" s="31"/>
      <c r="AD36" s="31">
        <v>0</v>
      </c>
      <c r="AE36" s="31">
        <f t="shared" si="22"/>
        <v>10884.929237</v>
      </c>
      <c r="AF36" s="31">
        <v>10471.212686000001</v>
      </c>
      <c r="AG36" s="31">
        <v>1036.7738879999999</v>
      </c>
      <c r="AH36" s="31"/>
      <c r="AI36" s="31">
        <v>0</v>
      </c>
      <c r="AJ36" s="31">
        <f t="shared" si="23"/>
        <v>11507.986574</v>
      </c>
      <c r="AK36" s="31">
        <f>11943.749087</f>
        <v>11943.749087</v>
      </c>
      <c r="AL36" s="31"/>
      <c r="AM36" s="31">
        <f>281.548499</f>
        <v>281.54849899999999</v>
      </c>
      <c r="AN36" s="31">
        <v>147.530654</v>
      </c>
      <c r="AO36" s="31">
        <v>267.12031999999999</v>
      </c>
      <c r="AP36" s="31"/>
      <c r="AQ36" s="31">
        <v>404.01367299999998</v>
      </c>
      <c r="AR36" s="31">
        <f t="shared" si="24"/>
        <v>13043.962233</v>
      </c>
      <c r="AS36" s="31"/>
      <c r="AT36" s="31">
        <v>0</v>
      </c>
      <c r="AU36" s="31">
        <f t="shared" si="25"/>
        <v>13043.962233</v>
      </c>
      <c r="AV36" s="16">
        <v>18477.046408999999</v>
      </c>
      <c r="AW36" s="16"/>
      <c r="AX36" s="31">
        <v>1172.395806</v>
      </c>
      <c r="AY36" s="16">
        <v>705.26911199999995</v>
      </c>
      <c r="AZ36" s="16">
        <f t="shared" si="2"/>
        <v>20354.711326999997</v>
      </c>
      <c r="BA36" s="16"/>
      <c r="BB36" s="16">
        <v>353.09248700000001</v>
      </c>
      <c r="BC36" s="16">
        <v>1172.7948730000001</v>
      </c>
      <c r="BD36" s="16">
        <f t="shared" si="3"/>
        <v>1525.8873600000002</v>
      </c>
      <c r="BE36" s="16">
        <f t="shared" si="4"/>
        <v>21880.598686999998</v>
      </c>
    </row>
    <row r="37" spans="1:57" ht="12.75" customHeight="1" x14ac:dyDescent="0.2">
      <c r="A37" s="12" t="s">
        <v>81</v>
      </c>
      <c r="B37" s="31">
        <v>42306.616000000002</v>
      </c>
      <c r="C37" s="31">
        <v>277.85292500000003</v>
      </c>
      <c r="D37" s="31"/>
      <c r="E37" s="31">
        <v>0</v>
      </c>
      <c r="F37" s="31">
        <f t="shared" si="17"/>
        <v>42584.468925000001</v>
      </c>
      <c r="G37" s="31">
        <v>58496.082347999996</v>
      </c>
      <c r="H37" s="31">
        <v>431.54071499999998</v>
      </c>
      <c r="I37" s="31"/>
      <c r="J37" s="31">
        <v>0</v>
      </c>
      <c r="K37" s="31">
        <f t="shared" si="18"/>
        <v>58927.623062999999</v>
      </c>
      <c r="L37" s="31">
        <v>60654.292580000001</v>
      </c>
      <c r="M37" s="31">
        <v>892.58187399999997</v>
      </c>
      <c r="N37" s="31"/>
      <c r="O37" s="31">
        <v>0</v>
      </c>
      <c r="P37" s="31">
        <f t="shared" si="19"/>
        <v>61546.874454000004</v>
      </c>
      <c r="Q37" s="31">
        <v>62900.507156999993</v>
      </c>
      <c r="R37" s="31">
        <v>634.09357999999997</v>
      </c>
      <c r="S37" s="31"/>
      <c r="T37" s="31">
        <v>0</v>
      </c>
      <c r="U37" s="31">
        <f t="shared" si="20"/>
        <v>63534.600736999993</v>
      </c>
      <c r="V37" s="31">
        <v>66346.498963999999</v>
      </c>
      <c r="W37" s="31">
        <v>1159.9314890000001</v>
      </c>
      <c r="X37" s="31"/>
      <c r="Y37" s="31">
        <v>0</v>
      </c>
      <c r="Z37" s="31">
        <f t="shared" si="21"/>
        <v>67506.430452999994</v>
      </c>
      <c r="AA37" s="31">
        <v>68687.361149999997</v>
      </c>
      <c r="AB37" s="31">
        <v>1426.991354</v>
      </c>
      <c r="AC37" s="31"/>
      <c r="AD37" s="31">
        <v>0</v>
      </c>
      <c r="AE37" s="31">
        <f t="shared" si="22"/>
        <v>70114.352503999995</v>
      </c>
      <c r="AF37" s="31">
        <v>72121.729208000004</v>
      </c>
      <c r="AG37" s="31">
        <v>1326.190484</v>
      </c>
      <c r="AH37" s="31"/>
      <c r="AI37" s="31">
        <v>0</v>
      </c>
      <c r="AJ37" s="31">
        <f t="shared" si="23"/>
        <v>73447.91969200001</v>
      </c>
      <c r="AK37" s="31">
        <f>76227.200688</f>
        <v>76227.200687999997</v>
      </c>
      <c r="AL37" s="31"/>
      <c r="AM37" s="31">
        <f>1939.130064</f>
        <v>1939.1300639999999</v>
      </c>
      <c r="AN37" s="31">
        <v>1016.135016</v>
      </c>
      <c r="AO37" s="31">
        <v>285.25257800000003</v>
      </c>
      <c r="AP37" s="31"/>
      <c r="AQ37" s="31">
        <v>516.62537799999996</v>
      </c>
      <c r="AR37" s="31">
        <f t="shared" si="24"/>
        <v>79984.343723999991</v>
      </c>
      <c r="AS37" s="31"/>
      <c r="AT37" s="31">
        <v>0</v>
      </c>
      <c r="AU37" s="31">
        <f t="shared" si="25"/>
        <v>79984.343723999991</v>
      </c>
      <c r="AV37" s="16">
        <v>111938.633319</v>
      </c>
      <c r="AW37" s="16"/>
      <c r="AX37" s="31">
        <v>1346.2964649999999</v>
      </c>
      <c r="AY37" s="16">
        <v>492.83471700000001</v>
      </c>
      <c r="AZ37" s="16">
        <f t="shared" si="2"/>
        <v>113777.76450100001</v>
      </c>
      <c r="BA37" s="16"/>
      <c r="BB37" s="16">
        <v>464.39165500000001</v>
      </c>
      <c r="BC37" s="16">
        <v>1256.769178</v>
      </c>
      <c r="BD37" s="16">
        <f t="shared" si="3"/>
        <v>1721.1608329999999</v>
      </c>
      <c r="BE37" s="16">
        <f t="shared" si="4"/>
        <v>115498.92533400001</v>
      </c>
    </row>
    <row r="38" spans="1:57" ht="12.75" customHeight="1" x14ac:dyDescent="0.2">
      <c r="A38" s="12" t="s">
        <v>82</v>
      </c>
      <c r="B38" s="31">
        <v>19066.47</v>
      </c>
      <c r="C38" s="31">
        <v>115.952384</v>
      </c>
      <c r="D38" s="31"/>
      <c r="E38" s="31">
        <v>0</v>
      </c>
      <c r="F38" s="31">
        <f t="shared" si="17"/>
        <v>19182.422384000001</v>
      </c>
      <c r="G38" s="31">
        <v>21135.305358000001</v>
      </c>
      <c r="H38" s="31">
        <v>212.3810258</v>
      </c>
      <c r="I38" s="31"/>
      <c r="J38" s="31">
        <v>0</v>
      </c>
      <c r="K38" s="31">
        <f t="shared" si="18"/>
        <v>21347.686383800003</v>
      </c>
      <c r="L38" s="31">
        <v>23653.002607999999</v>
      </c>
      <c r="M38" s="31">
        <v>692.59501899999998</v>
      </c>
      <c r="N38" s="31"/>
      <c r="O38" s="31">
        <v>0</v>
      </c>
      <c r="P38" s="31">
        <f t="shared" si="19"/>
        <v>24345.597626999999</v>
      </c>
      <c r="Q38" s="31">
        <v>22967.351871999999</v>
      </c>
      <c r="R38" s="31">
        <v>708.716364</v>
      </c>
      <c r="S38" s="31"/>
      <c r="T38" s="31">
        <v>0</v>
      </c>
      <c r="U38" s="31">
        <f t="shared" si="20"/>
        <v>23676.068235999999</v>
      </c>
      <c r="V38" s="31">
        <v>24225.613688000001</v>
      </c>
      <c r="W38" s="31">
        <v>841.73412099999996</v>
      </c>
      <c r="X38" s="31"/>
      <c r="Y38" s="31">
        <v>0</v>
      </c>
      <c r="Z38" s="31">
        <f t="shared" si="21"/>
        <v>25067.347809000003</v>
      </c>
      <c r="AA38" s="31">
        <v>25180.350923000002</v>
      </c>
      <c r="AB38" s="31">
        <v>1045.2920590000001</v>
      </c>
      <c r="AC38" s="31"/>
      <c r="AD38" s="31">
        <v>0</v>
      </c>
      <c r="AE38" s="31">
        <f t="shared" si="22"/>
        <v>26225.642982000001</v>
      </c>
      <c r="AF38" s="31">
        <v>26439.368468000001</v>
      </c>
      <c r="AG38" s="31">
        <v>1128.89274</v>
      </c>
      <c r="AH38" s="31"/>
      <c r="AI38" s="31">
        <v>0</v>
      </c>
      <c r="AJ38" s="31">
        <f t="shared" si="23"/>
        <v>27568.261208</v>
      </c>
      <c r="AK38" s="31">
        <f>29001.4202+218.612999</f>
        <v>29220.033199000001</v>
      </c>
      <c r="AL38" s="31"/>
      <c r="AM38" s="31">
        <f>707.549657</f>
        <v>707.54965700000002</v>
      </c>
      <c r="AN38" s="31">
        <v>372.16599300000001</v>
      </c>
      <c r="AO38" s="31">
        <v>348.75940900000001</v>
      </c>
      <c r="AP38" s="31"/>
      <c r="AQ38" s="31">
        <v>411.20278100000002</v>
      </c>
      <c r="AR38" s="31">
        <f t="shared" si="24"/>
        <v>31059.711038999998</v>
      </c>
      <c r="AS38" s="31"/>
      <c r="AT38" s="31">
        <v>0</v>
      </c>
      <c r="AU38" s="31">
        <f t="shared" si="25"/>
        <v>31059.711038999998</v>
      </c>
      <c r="AV38" s="16">
        <v>49964.613939000003</v>
      </c>
      <c r="AW38" s="16"/>
      <c r="AX38" s="31">
        <v>1086.3372890000001</v>
      </c>
      <c r="AY38" s="16">
        <v>685.58045000000004</v>
      </c>
      <c r="AZ38" s="16">
        <f t="shared" si="2"/>
        <v>51736.531678000007</v>
      </c>
      <c r="BA38" s="16"/>
      <c r="BB38" s="16">
        <v>404.93480199999999</v>
      </c>
      <c r="BC38" s="16">
        <v>1230.1803600000001</v>
      </c>
      <c r="BD38" s="16">
        <f t="shared" si="3"/>
        <v>1635.1151620000001</v>
      </c>
      <c r="BE38" s="16">
        <f t="shared" si="4"/>
        <v>53371.646840000009</v>
      </c>
    </row>
    <row r="39" spans="1:57" s="24" customFormat="1" x14ac:dyDescent="0.2">
      <c r="A39" s="22" t="s">
        <v>83</v>
      </c>
      <c r="B39" s="33">
        <v>13517.25</v>
      </c>
      <c r="C39" s="33">
        <v>164.08395300000001</v>
      </c>
      <c r="D39" s="33"/>
      <c r="E39" s="33">
        <v>0</v>
      </c>
      <c r="F39" s="33">
        <f t="shared" si="17"/>
        <v>13681.333952999999</v>
      </c>
      <c r="G39" s="33">
        <v>15161.647797</v>
      </c>
      <c r="H39" s="33">
        <v>182.31179800000001</v>
      </c>
      <c r="I39" s="33"/>
      <c r="J39" s="33">
        <v>0</v>
      </c>
      <c r="K39" s="33">
        <f t="shared" si="18"/>
        <v>15343.959595</v>
      </c>
      <c r="L39" s="33">
        <v>15641.132593</v>
      </c>
      <c r="M39" s="33">
        <v>94.174265000000005</v>
      </c>
      <c r="N39" s="33"/>
      <c r="O39" s="33">
        <v>0</v>
      </c>
      <c r="P39" s="33">
        <f t="shared" si="19"/>
        <v>15735.306858</v>
      </c>
      <c r="Q39" s="33">
        <v>16384.309743000002</v>
      </c>
      <c r="R39" s="33">
        <v>696.43552999999997</v>
      </c>
      <c r="S39" s="33"/>
      <c r="T39" s="33">
        <v>0</v>
      </c>
      <c r="U39" s="33">
        <f t="shared" si="20"/>
        <v>17080.745273</v>
      </c>
      <c r="V39" s="33">
        <v>17281.920901000001</v>
      </c>
      <c r="W39" s="33">
        <v>471.45881100000003</v>
      </c>
      <c r="X39" s="33"/>
      <c r="Y39" s="33">
        <v>0</v>
      </c>
      <c r="Z39" s="33">
        <f t="shared" si="21"/>
        <v>17753.379712000002</v>
      </c>
      <c r="AA39" s="33">
        <v>17991.668149000001</v>
      </c>
      <c r="AB39" s="33">
        <v>421.26074199999999</v>
      </c>
      <c r="AC39" s="33"/>
      <c r="AD39" s="33">
        <v>0</v>
      </c>
      <c r="AE39" s="33">
        <f t="shared" si="22"/>
        <v>18412.928891</v>
      </c>
      <c r="AF39" s="33">
        <v>18891.251555999999</v>
      </c>
      <c r="AG39" s="33">
        <v>999.46790199999998</v>
      </c>
      <c r="AH39" s="33"/>
      <c r="AI39" s="33">
        <v>0</v>
      </c>
      <c r="AJ39" s="33">
        <f t="shared" si="23"/>
        <v>19890.719458</v>
      </c>
      <c r="AK39" s="33">
        <f>20400.367883+215.653097</f>
        <v>20616.020979999998</v>
      </c>
      <c r="AL39" s="33"/>
      <c r="AM39" s="33">
        <f>504.604157</f>
        <v>504.60415699999999</v>
      </c>
      <c r="AN39" s="33">
        <v>265.819321</v>
      </c>
      <c r="AO39" s="33">
        <v>154.18391800000001</v>
      </c>
      <c r="AP39" s="33"/>
      <c r="AQ39" s="33">
        <v>405.63531699999999</v>
      </c>
      <c r="AR39" s="33">
        <f t="shared" si="24"/>
        <v>21946.263692999997</v>
      </c>
      <c r="AS39" s="33"/>
      <c r="AT39" s="33">
        <v>0</v>
      </c>
      <c r="AU39" s="33">
        <f t="shared" si="25"/>
        <v>21946.263692999997</v>
      </c>
      <c r="AV39" s="23">
        <v>35772.068617999998</v>
      </c>
      <c r="AW39" s="23"/>
      <c r="AX39" s="31">
        <v>733.31749100000002</v>
      </c>
      <c r="AY39" s="23">
        <v>385.196305</v>
      </c>
      <c r="AZ39" s="23">
        <f t="shared" si="2"/>
        <v>36890.582413999997</v>
      </c>
      <c r="BA39" s="23"/>
      <c r="BB39" s="23">
        <v>269.33256599999999</v>
      </c>
      <c r="BC39" s="23">
        <v>1056.642079</v>
      </c>
      <c r="BD39" s="23">
        <f t="shared" si="3"/>
        <v>1325.974645</v>
      </c>
      <c r="BE39" s="23">
        <f t="shared" si="4"/>
        <v>38216.557058999999</v>
      </c>
    </row>
    <row r="40" spans="1:57" s="24" customFormat="1" x14ac:dyDescent="0.2">
      <c r="A40" s="22" t="s">
        <v>84</v>
      </c>
      <c r="B40" s="33">
        <v>3117.9160000000002</v>
      </c>
      <c r="C40" s="33">
        <v>127.344016</v>
      </c>
      <c r="D40" s="33"/>
      <c r="E40" s="33">
        <v>0</v>
      </c>
      <c r="F40" s="33">
        <f t="shared" si="17"/>
        <v>3245.2600160000002</v>
      </c>
      <c r="G40" s="33">
        <v>3805.396197</v>
      </c>
      <c r="H40" s="33">
        <v>278.38443699999999</v>
      </c>
      <c r="I40" s="33"/>
      <c r="J40" s="33">
        <v>0</v>
      </c>
      <c r="K40" s="33">
        <f t="shared" si="18"/>
        <v>4083.7806340000002</v>
      </c>
      <c r="L40" s="33">
        <v>3852.4366039999995</v>
      </c>
      <c r="M40" s="33">
        <v>23.543565999999998</v>
      </c>
      <c r="N40" s="33"/>
      <c r="O40" s="33">
        <v>0</v>
      </c>
      <c r="P40" s="33">
        <f t="shared" si="19"/>
        <v>3875.9801699999994</v>
      </c>
      <c r="Q40" s="33">
        <v>3955.3014380000004</v>
      </c>
      <c r="R40" s="33">
        <v>710.14530000000002</v>
      </c>
      <c r="S40" s="33"/>
      <c r="T40" s="33">
        <v>0</v>
      </c>
      <c r="U40" s="33">
        <f t="shared" si="20"/>
        <v>4665.4467380000006</v>
      </c>
      <c r="V40" s="33">
        <v>4573.9918429999998</v>
      </c>
      <c r="W40" s="33">
        <v>113.81387100000001</v>
      </c>
      <c r="X40" s="33"/>
      <c r="Y40" s="33">
        <v>0</v>
      </c>
      <c r="Z40" s="33">
        <f t="shared" si="21"/>
        <v>4687.8057140000001</v>
      </c>
      <c r="AA40" s="33">
        <v>4887.289632</v>
      </c>
      <c r="AB40" s="33">
        <v>903.20642799999996</v>
      </c>
      <c r="AC40" s="33"/>
      <c r="AD40" s="33">
        <v>0</v>
      </c>
      <c r="AE40" s="33">
        <f t="shared" si="22"/>
        <v>5790.4960599999995</v>
      </c>
      <c r="AF40" s="33">
        <v>5131.6541139999999</v>
      </c>
      <c r="AG40" s="33">
        <v>737.29015900000002</v>
      </c>
      <c r="AH40" s="33"/>
      <c r="AI40" s="33">
        <v>0</v>
      </c>
      <c r="AJ40" s="33">
        <f t="shared" si="23"/>
        <v>5868.9442730000001</v>
      </c>
      <c r="AK40" s="33">
        <f>6241.696275+216.885535</f>
        <v>6458.5818100000006</v>
      </c>
      <c r="AL40" s="33"/>
      <c r="AM40" s="33">
        <f>118.891121</f>
        <v>118.891121</v>
      </c>
      <c r="AN40" s="33">
        <v>70.332993999999999</v>
      </c>
      <c r="AO40" s="33">
        <v>15.691205</v>
      </c>
      <c r="AP40" s="33"/>
      <c r="AQ40" s="33">
        <v>407.953487</v>
      </c>
      <c r="AR40" s="33">
        <f t="shared" si="24"/>
        <v>7071.4506170000004</v>
      </c>
      <c r="AS40" s="33"/>
      <c r="AT40" s="33">
        <v>0</v>
      </c>
      <c r="AU40" s="33">
        <f t="shared" si="25"/>
        <v>7071.4506170000004</v>
      </c>
      <c r="AV40" s="23">
        <v>17301.402149000001</v>
      </c>
      <c r="AW40" s="23"/>
      <c r="AX40" s="31">
        <v>730.26531499999999</v>
      </c>
      <c r="AY40" s="23">
        <v>46.757711</v>
      </c>
      <c r="AZ40" s="23">
        <f t="shared" si="2"/>
        <v>18078.425175</v>
      </c>
      <c r="BA40" s="23"/>
      <c r="BB40" s="23">
        <v>66.817573999999993</v>
      </c>
      <c r="BC40" s="23">
        <v>715.85183900000004</v>
      </c>
      <c r="BD40" s="23">
        <f t="shared" si="3"/>
        <v>782.66941300000008</v>
      </c>
      <c r="BE40" s="23">
        <f t="shared" si="4"/>
        <v>18861.094588</v>
      </c>
    </row>
    <row r="41" spans="1:57" ht="12.75" customHeight="1" x14ac:dyDescent="0.2">
      <c r="A41" s="13" t="s">
        <v>85</v>
      </c>
      <c r="B41" s="32">
        <v>6816.2779999999993</v>
      </c>
      <c r="C41" s="32">
        <v>108.85607</v>
      </c>
      <c r="D41" s="32"/>
      <c r="E41" s="32">
        <v>0</v>
      </c>
      <c r="F41" s="31">
        <f t="shared" si="17"/>
        <v>6925.1340699999992</v>
      </c>
      <c r="G41" s="32">
        <v>8022.6066179999998</v>
      </c>
      <c r="H41" s="32">
        <v>180.98748599999999</v>
      </c>
      <c r="I41" s="32"/>
      <c r="J41" s="32">
        <v>0</v>
      </c>
      <c r="K41" s="31">
        <f t="shared" si="18"/>
        <v>8203.5941039999998</v>
      </c>
      <c r="L41" s="32">
        <v>8754.0639350000001</v>
      </c>
      <c r="M41" s="32">
        <v>944.04443900000001</v>
      </c>
      <c r="N41" s="32"/>
      <c r="O41" s="32">
        <v>0</v>
      </c>
      <c r="P41" s="31">
        <f t="shared" si="19"/>
        <v>9698.1083739999995</v>
      </c>
      <c r="Q41" s="32">
        <v>8477.4832750000005</v>
      </c>
      <c r="R41" s="32">
        <v>507.46120300000001</v>
      </c>
      <c r="S41" s="32"/>
      <c r="T41" s="32">
        <v>0</v>
      </c>
      <c r="U41" s="31">
        <f t="shared" si="20"/>
        <v>8984.9444780000013</v>
      </c>
      <c r="V41" s="32">
        <v>8941.9205149999998</v>
      </c>
      <c r="W41" s="32">
        <v>635.83584399999995</v>
      </c>
      <c r="X41" s="32"/>
      <c r="Y41" s="32">
        <v>0</v>
      </c>
      <c r="Z41" s="31">
        <f t="shared" si="21"/>
        <v>9577.7563589999991</v>
      </c>
      <c r="AA41" s="32">
        <v>9307.4127250000001</v>
      </c>
      <c r="AB41" s="32">
        <v>508.510581</v>
      </c>
      <c r="AC41" s="32"/>
      <c r="AD41" s="32">
        <v>0</v>
      </c>
      <c r="AE41" s="31">
        <f t="shared" si="22"/>
        <v>9815.9233060000006</v>
      </c>
      <c r="AF41" s="32">
        <v>9772.7833609999998</v>
      </c>
      <c r="AG41" s="32">
        <v>894.26399800000002</v>
      </c>
      <c r="AH41" s="32"/>
      <c r="AI41" s="32">
        <v>0</v>
      </c>
      <c r="AJ41" s="31">
        <f t="shared" si="23"/>
        <v>10667.047359</v>
      </c>
      <c r="AK41" s="32">
        <f>10846.550818+221.52781</f>
        <v>11068.078627999999</v>
      </c>
      <c r="AL41" s="32"/>
      <c r="AM41" s="32">
        <f>261.098333</f>
        <v>261.09833300000003</v>
      </c>
      <c r="AN41" s="32">
        <v>141.95090400000001</v>
      </c>
      <c r="AO41" s="32">
        <v>112.87650600000001</v>
      </c>
      <c r="AP41" s="32"/>
      <c r="AQ41" s="32">
        <v>416.68543099999999</v>
      </c>
      <c r="AR41" s="32">
        <f t="shared" si="24"/>
        <v>12000.689801999999</v>
      </c>
      <c r="AS41" s="32"/>
      <c r="AT41" s="32">
        <v>0</v>
      </c>
      <c r="AU41" s="32">
        <f t="shared" si="25"/>
        <v>12000.689801999999</v>
      </c>
      <c r="AV41" s="16">
        <v>20542.565472999999</v>
      </c>
      <c r="AW41" s="16"/>
      <c r="AX41" s="31">
        <v>679.12991999999997</v>
      </c>
      <c r="AY41" s="16">
        <v>209.66408899999999</v>
      </c>
      <c r="AZ41" s="16">
        <f t="shared" si="2"/>
        <v>21431.359482</v>
      </c>
      <c r="BA41" s="16"/>
      <c r="BB41" s="16">
        <v>82.871560000000002</v>
      </c>
      <c r="BC41" s="16">
        <v>892.94098699999995</v>
      </c>
      <c r="BD41" s="16">
        <f t="shared" si="3"/>
        <v>975.812547</v>
      </c>
      <c r="BE41" s="16">
        <f t="shared" si="4"/>
        <v>22407.172029000001</v>
      </c>
    </row>
    <row r="42" spans="1:57" ht="12.75" customHeight="1" x14ac:dyDescent="0.2">
      <c r="A42" s="12" t="s">
        <v>86</v>
      </c>
      <c r="B42" s="31">
        <v>7122.7610000000004</v>
      </c>
      <c r="C42" s="31">
        <v>117.460312</v>
      </c>
      <c r="D42" s="31"/>
      <c r="E42" s="31">
        <v>0</v>
      </c>
      <c r="F42" s="31">
        <f t="shared" si="17"/>
        <v>7240.2213120000006</v>
      </c>
      <c r="G42" s="31">
        <v>7859.9018730000007</v>
      </c>
      <c r="H42" s="31">
        <v>162.01423700000001</v>
      </c>
      <c r="I42" s="31"/>
      <c r="J42" s="31">
        <v>0</v>
      </c>
      <c r="K42" s="31">
        <f t="shared" si="18"/>
        <v>8021.916110000001</v>
      </c>
      <c r="L42" s="31">
        <v>8361.3779270000014</v>
      </c>
      <c r="M42" s="31">
        <v>788.38047400000005</v>
      </c>
      <c r="N42" s="31"/>
      <c r="O42" s="31">
        <v>0</v>
      </c>
      <c r="P42" s="31">
        <f t="shared" si="19"/>
        <v>9149.758401000001</v>
      </c>
      <c r="Q42" s="31">
        <v>8559.6242189999994</v>
      </c>
      <c r="R42" s="31">
        <v>385.308177</v>
      </c>
      <c r="S42" s="31"/>
      <c r="T42" s="31">
        <v>0</v>
      </c>
      <c r="U42" s="31">
        <f t="shared" si="20"/>
        <v>8944.9323960000002</v>
      </c>
      <c r="V42" s="31">
        <v>9145.5615330000001</v>
      </c>
      <c r="W42" s="31">
        <v>511.23598299999998</v>
      </c>
      <c r="X42" s="31"/>
      <c r="Y42" s="31">
        <v>0</v>
      </c>
      <c r="Z42" s="31">
        <f t="shared" si="21"/>
        <v>9656.7975160000005</v>
      </c>
      <c r="AA42" s="31">
        <v>9768.810644000001</v>
      </c>
      <c r="AB42" s="31">
        <v>517.64987900000006</v>
      </c>
      <c r="AC42" s="31"/>
      <c r="AD42" s="31">
        <v>0</v>
      </c>
      <c r="AE42" s="31">
        <f t="shared" si="22"/>
        <v>10286.460523000002</v>
      </c>
      <c r="AF42" s="31">
        <v>10257.251176</v>
      </c>
      <c r="AG42" s="31">
        <v>894.26399800000002</v>
      </c>
      <c r="AH42" s="31"/>
      <c r="AI42" s="31">
        <v>0</v>
      </c>
      <c r="AJ42" s="31">
        <f t="shared" si="23"/>
        <v>11151.515174</v>
      </c>
      <c r="AK42" s="31">
        <f>11248.579438+197.754184</f>
        <v>11446.333622</v>
      </c>
      <c r="AL42" s="31"/>
      <c r="AM42" s="31">
        <f>262.385618</f>
        <v>262.38561800000002</v>
      </c>
      <c r="AN42" s="31">
        <v>143.13438199999999</v>
      </c>
      <c r="AO42" s="31">
        <v>0</v>
      </c>
      <c r="AP42" s="31"/>
      <c r="AQ42" s="31">
        <v>371.96813800000001</v>
      </c>
      <c r="AR42" s="31">
        <f t="shared" si="24"/>
        <v>12223.821760000001</v>
      </c>
      <c r="AS42" s="31"/>
      <c r="AT42" s="31">
        <v>0</v>
      </c>
      <c r="AU42" s="31">
        <f t="shared" si="25"/>
        <v>12223.821760000001</v>
      </c>
      <c r="AV42" s="16">
        <v>25363.092536</v>
      </c>
      <c r="AW42" s="16"/>
      <c r="AX42" s="31">
        <v>514.18083300000001</v>
      </c>
      <c r="AY42" s="16">
        <v>53.700802000000003</v>
      </c>
      <c r="AZ42" s="16">
        <f t="shared" si="2"/>
        <v>25930.974170999998</v>
      </c>
      <c r="BA42" s="16"/>
      <c r="BB42" s="16">
        <v>130.49414999999999</v>
      </c>
      <c r="BC42" s="16">
        <v>0</v>
      </c>
      <c r="BD42" s="16">
        <f t="shared" si="3"/>
        <v>130.49414999999999</v>
      </c>
      <c r="BE42" s="16">
        <f t="shared" si="4"/>
        <v>26061.468320999997</v>
      </c>
    </row>
    <row r="43" spans="1:57" ht="12.75" customHeight="1" x14ac:dyDescent="0.2">
      <c r="A43" s="12" t="s">
        <v>87</v>
      </c>
      <c r="B43" s="31">
        <v>3889.8119999999999</v>
      </c>
      <c r="C43" s="31">
        <v>129.33130600000001</v>
      </c>
      <c r="D43" s="31"/>
      <c r="E43" s="31">
        <v>0</v>
      </c>
      <c r="F43" s="31">
        <f t="shared" si="17"/>
        <v>4019.1433059999999</v>
      </c>
      <c r="G43" s="31">
        <v>4587.063142</v>
      </c>
      <c r="H43" s="31">
        <v>160.72449</v>
      </c>
      <c r="I43" s="31"/>
      <c r="J43" s="31">
        <v>0</v>
      </c>
      <c r="K43" s="31">
        <f t="shared" si="18"/>
        <v>4747.7876319999996</v>
      </c>
      <c r="L43" s="31">
        <v>5528.5574470000001</v>
      </c>
      <c r="M43" s="31">
        <v>110.96168900000001</v>
      </c>
      <c r="N43" s="31"/>
      <c r="O43" s="31">
        <v>0</v>
      </c>
      <c r="P43" s="31">
        <f t="shared" si="19"/>
        <v>5639.5191359999999</v>
      </c>
      <c r="Q43" s="31">
        <v>4842.8545500000009</v>
      </c>
      <c r="R43" s="31">
        <v>301.77416199999999</v>
      </c>
      <c r="S43" s="31"/>
      <c r="T43" s="31">
        <v>0</v>
      </c>
      <c r="U43" s="31">
        <f t="shared" si="20"/>
        <v>5144.6287120000006</v>
      </c>
      <c r="V43" s="31">
        <v>5347.1693759999998</v>
      </c>
      <c r="W43" s="31">
        <v>660.11139600000001</v>
      </c>
      <c r="X43" s="31"/>
      <c r="Y43" s="31">
        <v>0</v>
      </c>
      <c r="Z43" s="31">
        <f t="shared" si="21"/>
        <v>6007.2807720000001</v>
      </c>
      <c r="AA43" s="31">
        <v>5636.9977340000005</v>
      </c>
      <c r="AB43" s="31">
        <v>315.73230599999999</v>
      </c>
      <c r="AC43" s="31"/>
      <c r="AD43" s="31">
        <v>0</v>
      </c>
      <c r="AE43" s="31">
        <f t="shared" si="22"/>
        <v>5952.7300400000004</v>
      </c>
      <c r="AF43" s="31">
        <v>5918.8476199999996</v>
      </c>
      <c r="AG43" s="31">
        <v>659.63525700000002</v>
      </c>
      <c r="AH43" s="31"/>
      <c r="AI43" s="31">
        <v>0</v>
      </c>
      <c r="AJ43" s="31">
        <f t="shared" si="23"/>
        <v>6578.4828769999995</v>
      </c>
      <c r="AK43" s="31">
        <f>6646.769587+198.518589</f>
        <v>6845.288176</v>
      </c>
      <c r="AL43" s="31"/>
      <c r="AM43" s="31">
        <f>148.373079</f>
        <v>148.37307899999999</v>
      </c>
      <c r="AN43" s="31">
        <v>82.281464999999997</v>
      </c>
      <c r="AO43" s="31">
        <v>241.08725999999999</v>
      </c>
      <c r="AP43" s="31"/>
      <c r="AQ43" s="31">
        <v>373.405957</v>
      </c>
      <c r="AR43" s="31">
        <f t="shared" si="24"/>
        <v>7690.4359370000002</v>
      </c>
      <c r="AS43" s="31"/>
      <c r="AT43" s="31">
        <v>0</v>
      </c>
      <c r="AU43" s="31">
        <f t="shared" si="25"/>
        <v>7690.4359370000002</v>
      </c>
      <c r="AV43" s="16">
        <v>16476.02709</v>
      </c>
      <c r="AW43" s="16"/>
      <c r="AX43" s="31">
        <v>809.68198400000006</v>
      </c>
      <c r="AY43" s="16">
        <v>664.28071199999999</v>
      </c>
      <c r="AZ43" s="16">
        <f t="shared" si="2"/>
        <v>17949.989785999998</v>
      </c>
      <c r="BA43" s="16"/>
      <c r="BB43" s="16">
        <v>85.378010000000003</v>
      </c>
      <c r="BC43" s="16">
        <v>770.332764</v>
      </c>
      <c r="BD43" s="16">
        <f t="shared" si="3"/>
        <v>855.71077400000001</v>
      </c>
      <c r="BE43" s="16">
        <f t="shared" si="4"/>
        <v>18805.700559999997</v>
      </c>
    </row>
    <row r="44" spans="1:57" ht="16.5" customHeight="1" x14ac:dyDescent="0.2">
      <c r="A44" s="8" t="s">
        <v>88</v>
      </c>
      <c r="B44" s="19">
        <f t="shared" ref="B44:AU44" si="26">B10+B27</f>
        <v>1184926.0049999999</v>
      </c>
      <c r="C44" s="19">
        <f t="shared" si="26"/>
        <v>5291.821868</v>
      </c>
      <c r="D44" s="19">
        <f t="shared" si="26"/>
        <v>1465.1172469999999</v>
      </c>
      <c r="E44" s="19">
        <f t="shared" si="26"/>
        <v>36887.087</v>
      </c>
      <c r="F44" s="19">
        <f t="shared" si="26"/>
        <v>1228570.0311149999</v>
      </c>
      <c r="G44" s="19">
        <f t="shared" si="26"/>
        <v>1329495.1768</v>
      </c>
      <c r="H44" s="19">
        <f t="shared" si="26"/>
        <v>6597.2704598</v>
      </c>
      <c r="I44" s="19">
        <f t="shared" si="26"/>
        <v>1487.8571829999998</v>
      </c>
      <c r="J44" s="19">
        <f t="shared" si="26"/>
        <v>39100.312999999987</v>
      </c>
      <c r="K44" s="19">
        <f t="shared" si="26"/>
        <v>1376680.6174428</v>
      </c>
      <c r="L44" s="19">
        <f t="shared" si="26"/>
        <v>1403911.196889</v>
      </c>
      <c r="M44" s="19">
        <f t="shared" si="26"/>
        <v>15193.202661000001</v>
      </c>
      <c r="N44" s="19">
        <f t="shared" si="26"/>
        <v>1379.6996239999999</v>
      </c>
      <c r="O44" s="19">
        <f t="shared" si="26"/>
        <v>41236.996733</v>
      </c>
      <c r="P44" s="19">
        <f t="shared" si="26"/>
        <v>1461721.0959069997</v>
      </c>
      <c r="Q44" s="19">
        <f t="shared" si="26"/>
        <v>1488931.4393850002</v>
      </c>
      <c r="R44" s="19">
        <f t="shared" si="26"/>
        <v>17150.494708999999</v>
      </c>
      <c r="S44" s="19">
        <f t="shared" si="26"/>
        <v>1131.199832</v>
      </c>
      <c r="T44" s="19">
        <f t="shared" si="26"/>
        <v>42803.120459434787</v>
      </c>
      <c r="U44" s="19">
        <f t="shared" si="26"/>
        <v>1550016.254385435</v>
      </c>
      <c r="V44" s="19">
        <f t="shared" si="26"/>
        <v>1589175.8844458167</v>
      </c>
      <c r="W44" s="19">
        <f t="shared" si="26"/>
        <v>23606.874767000001</v>
      </c>
      <c r="X44" s="19">
        <f t="shared" si="26"/>
        <v>966.43638299999998</v>
      </c>
      <c r="Y44" s="19">
        <f t="shared" si="26"/>
        <v>46125.974778599993</v>
      </c>
      <c r="Z44" s="19">
        <f t="shared" si="26"/>
        <v>1659875.170374417</v>
      </c>
      <c r="AA44" s="19">
        <f t="shared" si="26"/>
        <v>1677535.6820420003</v>
      </c>
      <c r="AB44" s="19">
        <f t="shared" si="26"/>
        <v>26480.532179000002</v>
      </c>
      <c r="AC44" s="19">
        <f t="shared" si="26"/>
        <v>730.48651400000006</v>
      </c>
      <c r="AD44" s="19">
        <f t="shared" si="26"/>
        <v>48270.97527499999</v>
      </c>
      <c r="AE44" s="19">
        <f t="shared" si="26"/>
        <v>1753017.6760099996</v>
      </c>
      <c r="AF44" s="19">
        <f t="shared" si="26"/>
        <v>1761494.9399962998</v>
      </c>
      <c r="AG44" s="19">
        <f t="shared" si="26"/>
        <v>29686.619437999998</v>
      </c>
      <c r="AH44" s="19">
        <f t="shared" si="26"/>
        <v>74.607748999999998</v>
      </c>
      <c r="AI44" s="19">
        <f t="shared" si="26"/>
        <v>50743.791518999999</v>
      </c>
      <c r="AJ44" s="19">
        <f t="shared" si="26"/>
        <v>1841999.9587023</v>
      </c>
      <c r="AK44" s="19">
        <f t="shared" si="26"/>
        <v>1675233.4034059998</v>
      </c>
      <c r="AL44" s="19">
        <f t="shared" si="26"/>
        <v>193639.85490600005</v>
      </c>
      <c r="AM44" s="19">
        <f t="shared" si="26"/>
        <v>34698.793586</v>
      </c>
      <c r="AN44" s="19">
        <f t="shared" si="26"/>
        <v>17983.015737000002</v>
      </c>
      <c r="AO44" s="19">
        <f t="shared" si="26"/>
        <v>13621.499159999999</v>
      </c>
      <c r="AP44" s="19">
        <f t="shared" si="26"/>
        <v>0</v>
      </c>
      <c r="AQ44" s="19">
        <f t="shared" si="26"/>
        <v>13592.28916</v>
      </c>
      <c r="AR44" s="19">
        <f t="shared" si="26"/>
        <v>1948768.8559549998</v>
      </c>
      <c r="AS44" s="19">
        <f t="shared" si="26"/>
        <v>0</v>
      </c>
      <c r="AT44" s="19">
        <f t="shared" si="26"/>
        <v>54085.206752999999</v>
      </c>
      <c r="AU44" s="19">
        <f t="shared" si="26"/>
        <v>2002854.0627079997</v>
      </c>
      <c r="AV44" s="19">
        <f>+AV10+AV27</f>
        <v>2532450.6999549996</v>
      </c>
      <c r="AW44" s="19">
        <f t="shared" ref="AW44:AY44" si="27">+AW10+AW27</f>
        <v>301967.25527299993</v>
      </c>
      <c r="AX44" s="19">
        <f t="shared" si="27"/>
        <v>29314.138017999998</v>
      </c>
      <c r="AY44" s="19">
        <f t="shared" si="27"/>
        <v>32462.967567999996</v>
      </c>
      <c r="AZ44" s="19">
        <f t="shared" si="2"/>
        <v>2896195.0608139993</v>
      </c>
      <c r="BA44" s="19">
        <f>+BA10+BA27</f>
        <v>70476.430901</v>
      </c>
      <c r="BB44" s="19">
        <f t="shared" ref="BB44:BC44" si="28">+BB10+BB27</f>
        <v>27544.323249999994</v>
      </c>
      <c r="BC44" s="19">
        <f t="shared" si="28"/>
        <v>49543.015369999994</v>
      </c>
      <c r="BD44" s="19">
        <f t="shared" si="3"/>
        <v>147563.76952099998</v>
      </c>
      <c r="BE44" s="19">
        <f t="shared" si="4"/>
        <v>3043758.8303349991</v>
      </c>
    </row>
    <row r="45" spans="1:57" ht="15.75" customHeight="1" x14ac:dyDescent="0.2">
      <c r="A45" s="8" t="s">
        <v>121</v>
      </c>
      <c r="B45" s="19">
        <f>SUM(B46:B74)</f>
        <v>0</v>
      </c>
      <c r="C45" s="19">
        <f t="shared" ref="C45:BD45" si="29">SUM(C46:C74)</f>
        <v>0</v>
      </c>
      <c r="D45" s="19">
        <f t="shared" si="29"/>
        <v>0</v>
      </c>
      <c r="E45" s="19">
        <f t="shared" si="29"/>
        <v>0</v>
      </c>
      <c r="F45" s="19">
        <f t="shared" si="29"/>
        <v>0</v>
      </c>
      <c r="G45" s="19">
        <f t="shared" si="29"/>
        <v>0</v>
      </c>
      <c r="H45" s="19">
        <f t="shared" si="29"/>
        <v>0</v>
      </c>
      <c r="I45" s="19">
        <f t="shared" si="29"/>
        <v>0</v>
      </c>
      <c r="J45" s="19">
        <f t="shared" si="29"/>
        <v>0</v>
      </c>
      <c r="K45" s="19">
        <f t="shared" si="29"/>
        <v>0</v>
      </c>
      <c r="L45" s="19">
        <f t="shared" si="29"/>
        <v>0</v>
      </c>
      <c r="M45" s="19">
        <f t="shared" si="29"/>
        <v>0</v>
      </c>
      <c r="N45" s="19">
        <f t="shared" si="29"/>
        <v>0</v>
      </c>
      <c r="O45" s="19">
        <f t="shared" si="29"/>
        <v>0</v>
      </c>
      <c r="P45" s="19">
        <f t="shared" si="29"/>
        <v>0</v>
      </c>
      <c r="Q45" s="19">
        <f t="shared" si="29"/>
        <v>0</v>
      </c>
      <c r="R45" s="19">
        <f t="shared" si="29"/>
        <v>0</v>
      </c>
      <c r="S45" s="19">
        <f t="shared" si="29"/>
        <v>0</v>
      </c>
      <c r="T45" s="19">
        <f t="shared" si="29"/>
        <v>0</v>
      </c>
      <c r="U45" s="19">
        <f t="shared" si="29"/>
        <v>0</v>
      </c>
      <c r="V45" s="19">
        <f t="shared" si="29"/>
        <v>0</v>
      </c>
      <c r="W45" s="19">
        <f t="shared" si="29"/>
        <v>0</v>
      </c>
      <c r="X45" s="19">
        <f t="shared" si="29"/>
        <v>0</v>
      </c>
      <c r="Y45" s="19">
        <f t="shared" si="29"/>
        <v>0</v>
      </c>
      <c r="Z45" s="19" t="e">
        <f t="shared" si="29"/>
        <v>#REF!</v>
      </c>
      <c r="AA45" s="19">
        <f t="shared" si="29"/>
        <v>0</v>
      </c>
      <c r="AB45" s="19">
        <f t="shared" si="29"/>
        <v>0</v>
      </c>
      <c r="AC45" s="19">
        <f t="shared" si="29"/>
        <v>0</v>
      </c>
      <c r="AD45" s="19">
        <f t="shared" si="29"/>
        <v>0</v>
      </c>
      <c r="AE45" s="19">
        <f t="shared" si="29"/>
        <v>0</v>
      </c>
      <c r="AF45" s="19">
        <f t="shared" si="29"/>
        <v>0</v>
      </c>
      <c r="AG45" s="19">
        <f t="shared" si="29"/>
        <v>0</v>
      </c>
      <c r="AH45" s="19">
        <f t="shared" si="29"/>
        <v>0</v>
      </c>
      <c r="AI45" s="19">
        <f t="shared" si="29"/>
        <v>0</v>
      </c>
      <c r="AJ45" s="19">
        <f t="shared" si="29"/>
        <v>0</v>
      </c>
      <c r="AK45" s="19">
        <f t="shared" si="29"/>
        <v>0</v>
      </c>
      <c r="AL45" s="19">
        <f t="shared" si="29"/>
        <v>0</v>
      </c>
      <c r="AM45" s="19">
        <f t="shared" si="29"/>
        <v>0</v>
      </c>
      <c r="AN45" s="19">
        <f t="shared" si="29"/>
        <v>0</v>
      </c>
      <c r="AO45" s="19">
        <f t="shared" si="29"/>
        <v>0</v>
      </c>
      <c r="AP45" s="19">
        <f t="shared" si="29"/>
        <v>0</v>
      </c>
      <c r="AQ45" s="19">
        <f t="shared" si="29"/>
        <v>0</v>
      </c>
      <c r="AR45" s="19">
        <f t="shared" si="29"/>
        <v>0</v>
      </c>
      <c r="AS45" s="19">
        <f t="shared" si="29"/>
        <v>0</v>
      </c>
      <c r="AT45" s="19">
        <f t="shared" si="29"/>
        <v>0</v>
      </c>
      <c r="AU45" s="19">
        <f t="shared" si="29"/>
        <v>0</v>
      </c>
      <c r="AV45" s="19">
        <f t="shared" si="29"/>
        <v>0</v>
      </c>
      <c r="AW45" s="19">
        <f t="shared" si="29"/>
        <v>0</v>
      </c>
      <c r="AX45" s="19">
        <f t="shared" si="29"/>
        <v>0</v>
      </c>
      <c r="AY45" s="19">
        <f t="shared" si="29"/>
        <v>0</v>
      </c>
      <c r="AZ45" s="19">
        <f t="shared" si="29"/>
        <v>0</v>
      </c>
      <c r="BA45" s="19">
        <f t="shared" si="29"/>
        <v>0</v>
      </c>
      <c r="BB45" s="19">
        <f t="shared" si="29"/>
        <v>0</v>
      </c>
      <c r="BC45" s="19">
        <f t="shared" si="29"/>
        <v>8393.6193449999992</v>
      </c>
      <c r="BD45" s="19">
        <f t="shared" si="29"/>
        <v>8393.6193449999992</v>
      </c>
      <c r="BE45" s="19">
        <f t="shared" si="4"/>
        <v>8393.6193449999992</v>
      </c>
    </row>
    <row r="46" spans="1:57" ht="12.75" customHeight="1" x14ac:dyDescent="0.2">
      <c r="A46" s="12" t="s">
        <v>92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16"/>
      <c r="AW46" s="16"/>
      <c r="AX46" s="16"/>
      <c r="AY46" s="16"/>
      <c r="AZ46" s="16">
        <f t="shared" ref="AZ46:AZ74" si="30">SUM(AV46:AY46)</f>
        <v>0</v>
      </c>
      <c r="BA46" s="16"/>
      <c r="BB46" s="16"/>
      <c r="BC46" s="16">
        <v>699.95709099999999</v>
      </c>
      <c r="BD46" s="16">
        <f t="shared" ref="BD46:BD74" si="31">SUM(BA46:BC46)</f>
        <v>699.95709099999999</v>
      </c>
      <c r="BE46" s="16">
        <f t="shared" si="4"/>
        <v>699.95709099999999</v>
      </c>
    </row>
    <row r="47" spans="1:57" ht="12.75" customHeight="1" x14ac:dyDescent="0.2">
      <c r="A47" s="12" t="s">
        <v>93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16"/>
      <c r="AW47" s="16"/>
      <c r="AX47" s="16"/>
      <c r="AY47" s="16"/>
      <c r="AZ47" s="16">
        <f t="shared" si="30"/>
        <v>0</v>
      </c>
      <c r="BA47" s="16"/>
      <c r="BB47" s="16"/>
      <c r="BC47" s="16">
        <v>0</v>
      </c>
      <c r="BD47" s="16">
        <f t="shared" si="31"/>
        <v>0</v>
      </c>
      <c r="BE47" s="16">
        <f t="shared" si="4"/>
        <v>0</v>
      </c>
    </row>
    <row r="48" spans="1:57" ht="12.75" customHeight="1" x14ac:dyDescent="0.2">
      <c r="A48" s="12" t="s">
        <v>94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16"/>
      <c r="AW48" s="16"/>
      <c r="AX48" s="16"/>
      <c r="AY48" s="16"/>
      <c r="AZ48" s="16">
        <f t="shared" si="30"/>
        <v>0</v>
      </c>
      <c r="BA48" s="16"/>
      <c r="BB48" s="16"/>
      <c r="BC48" s="16">
        <v>314.17154599999998</v>
      </c>
      <c r="BD48" s="16">
        <f t="shared" si="31"/>
        <v>314.17154599999998</v>
      </c>
      <c r="BE48" s="16">
        <f t="shared" si="4"/>
        <v>314.17154599999998</v>
      </c>
    </row>
    <row r="49" spans="1:57" ht="12.75" customHeight="1" x14ac:dyDescent="0.2">
      <c r="A49" s="12" t="s">
        <v>95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16"/>
      <c r="AW49" s="16"/>
      <c r="AX49" s="16"/>
      <c r="AY49" s="16"/>
      <c r="AZ49" s="16">
        <f t="shared" si="30"/>
        <v>0</v>
      </c>
      <c r="BA49" s="16"/>
      <c r="BB49" s="16"/>
      <c r="BC49" s="16">
        <v>638.99553300000002</v>
      </c>
      <c r="BD49" s="16">
        <f t="shared" si="31"/>
        <v>638.99553300000002</v>
      </c>
      <c r="BE49" s="16">
        <f t="shared" si="4"/>
        <v>638.99553300000002</v>
      </c>
    </row>
    <row r="50" spans="1:57" ht="12.75" customHeight="1" x14ac:dyDescent="0.2">
      <c r="A50" s="12" t="s">
        <v>96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16"/>
      <c r="AW50" s="16"/>
      <c r="AX50" s="16"/>
      <c r="AY50" s="16"/>
      <c r="AZ50" s="16">
        <f t="shared" si="30"/>
        <v>0</v>
      </c>
      <c r="BA50" s="16"/>
      <c r="BB50" s="16"/>
      <c r="BC50" s="16">
        <v>0</v>
      </c>
      <c r="BD50" s="16">
        <f t="shared" si="31"/>
        <v>0</v>
      </c>
      <c r="BE50" s="16">
        <f t="shared" si="4"/>
        <v>0</v>
      </c>
    </row>
    <row r="51" spans="1:57" ht="12.75" customHeight="1" x14ac:dyDescent="0.2">
      <c r="A51" s="12" t="s">
        <v>97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16"/>
      <c r="AW51" s="16"/>
      <c r="AX51" s="16"/>
      <c r="AY51" s="16"/>
      <c r="AZ51" s="16">
        <f t="shared" si="30"/>
        <v>0</v>
      </c>
      <c r="BA51" s="16"/>
      <c r="BB51" s="16"/>
      <c r="BC51" s="16">
        <v>287.71662300000003</v>
      </c>
      <c r="BD51" s="16">
        <f t="shared" si="31"/>
        <v>287.71662300000003</v>
      </c>
      <c r="BE51" s="16">
        <f t="shared" si="4"/>
        <v>287.71662300000003</v>
      </c>
    </row>
    <row r="52" spans="1:57" ht="12.75" customHeight="1" x14ac:dyDescent="0.2">
      <c r="A52" s="12" t="s">
        <v>98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16"/>
      <c r="AW52" s="16"/>
      <c r="AX52" s="16"/>
      <c r="AY52" s="16"/>
      <c r="AZ52" s="16">
        <f t="shared" si="30"/>
        <v>0</v>
      </c>
      <c r="BA52" s="16"/>
      <c r="BB52" s="16"/>
      <c r="BC52" s="16">
        <v>569.15120999999999</v>
      </c>
      <c r="BD52" s="16">
        <f t="shared" si="31"/>
        <v>569.15120999999999</v>
      </c>
      <c r="BE52" s="16">
        <f t="shared" si="4"/>
        <v>569.15120999999999</v>
      </c>
    </row>
    <row r="53" spans="1:57" ht="12.75" customHeight="1" x14ac:dyDescent="0.2">
      <c r="A53" s="12" t="s">
        <v>99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16"/>
      <c r="AW53" s="16"/>
      <c r="AX53" s="16"/>
      <c r="AY53" s="16"/>
      <c r="AZ53" s="16">
        <f t="shared" si="30"/>
        <v>0</v>
      </c>
      <c r="BA53" s="16"/>
      <c r="BB53" s="16"/>
      <c r="BC53" s="16">
        <v>0</v>
      </c>
      <c r="BD53" s="16">
        <f t="shared" si="31"/>
        <v>0</v>
      </c>
      <c r="BE53" s="16">
        <f t="shared" si="4"/>
        <v>0</v>
      </c>
    </row>
    <row r="54" spans="1:57" ht="12.75" customHeight="1" x14ac:dyDescent="0.2">
      <c r="A54" s="12" t="s">
        <v>100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16"/>
      <c r="AW54" s="16"/>
      <c r="AX54" s="16"/>
      <c r="AY54" s="16"/>
      <c r="AZ54" s="16">
        <f t="shared" si="30"/>
        <v>0</v>
      </c>
      <c r="BA54" s="16"/>
      <c r="BB54" s="16"/>
      <c r="BC54" s="16">
        <v>328.00890500000003</v>
      </c>
      <c r="BD54" s="16">
        <f t="shared" si="31"/>
        <v>328.00890500000003</v>
      </c>
      <c r="BE54" s="16">
        <f t="shared" si="4"/>
        <v>328.00890500000003</v>
      </c>
    </row>
    <row r="55" spans="1:57" ht="12.75" customHeight="1" x14ac:dyDescent="0.2">
      <c r="A55" s="12" t="s">
        <v>101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16"/>
      <c r="AW55" s="16"/>
      <c r="AX55" s="16"/>
      <c r="AY55" s="16"/>
      <c r="AZ55" s="16">
        <f t="shared" si="30"/>
        <v>0</v>
      </c>
      <c r="BA55" s="16"/>
      <c r="BB55" s="16"/>
      <c r="BC55" s="16">
        <v>1069.326924</v>
      </c>
      <c r="BD55" s="16">
        <f t="shared" si="31"/>
        <v>1069.326924</v>
      </c>
      <c r="BE55" s="16">
        <f t="shared" si="4"/>
        <v>1069.326924</v>
      </c>
    </row>
    <row r="56" spans="1:57" s="24" customFormat="1" ht="12.75" customHeight="1" x14ac:dyDescent="0.2">
      <c r="A56" s="22" t="s">
        <v>102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23"/>
      <c r="AW56" s="23"/>
      <c r="AX56" s="23"/>
      <c r="AY56" s="23"/>
      <c r="AZ56" s="23">
        <f t="shared" si="30"/>
        <v>0</v>
      </c>
      <c r="BA56" s="23"/>
      <c r="BB56" s="23"/>
      <c r="BC56" s="23">
        <v>395.41428300000001</v>
      </c>
      <c r="BD56" s="23">
        <f t="shared" si="31"/>
        <v>395.41428300000001</v>
      </c>
      <c r="BE56" s="23">
        <f t="shared" si="4"/>
        <v>395.41428300000001</v>
      </c>
    </row>
    <row r="57" spans="1:57" ht="12.75" customHeight="1" x14ac:dyDescent="0.2">
      <c r="A57" s="12" t="s">
        <v>103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16"/>
      <c r="AW57" s="16"/>
      <c r="AX57" s="16"/>
      <c r="AY57" s="16"/>
      <c r="AZ57" s="16">
        <f t="shared" si="30"/>
        <v>0</v>
      </c>
      <c r="BA57" s="16"/>
      <c r="BB57" s="16"/>
      <c r="BC57" s="16">
        <v>356.60123700000003</v>
      </c>
      <c r="BD57" s="16">
        <f t="shared" si="31"/>
        <v>356.60123700000003</v>
      </c>
      <c r="BE57" s="16">
        <f t="shared" si="4"/>
        <v>356.60123700000003</v>
      </c>
    </row>
    <row r="58" spans="1:57" ht="12.75" customHeight="1" x14ac:dyDescent="0.2">
      <c r="A58" s="12" t="s">
        <v>104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16"/>
      <c r="AW58" s="16"/>
      <c r="AX58" s="16"/>
      <c r="AY58" s="16"/>
      <c r="AZ58" s="16">
        <f t="shared" si="30"/>
        <v>0</v>
      </c>
      <c r="BA58" s="16"/>
      <c r="BB58" s="16"/>
      <c r="BC58" s="16">
        <v>306.30075699999998</v>
      </c>
      <c r="BD58" s="16">
        <f t="shared" si="31"/>
        <v>306.30075699999998</v>
      </c>
      <c r="BE58" s="16">
        <f t="shared" si="4"/>
        <v>306.30075699999998</v>
      </c>
    </row>
    <row r="59" spans="1:57" ht="12.75" customHeight="1" x14ac:dyDescent="0.2">
      <c r="A59" s="12" t="s">
        <v>105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16"/>
      <c r="AW59" s="16"/>
      <c r="AX59" s="16"/>
      <c r="AY59" s="16"/>
      <c r="AZ59" s="16">
        <f t="shared" si="30"/>
        <v>0</v>
      </c>
      <c r="BA59" s="16"/>
      <c r="BB59" s="16"/>
      <c r="BC59" s="16">
        <v>382.06477699999999</v>
      </c>
      <c r="BD59" s="16">
        <f t="shared" si="31"/>
        <v>382.06477699999999</v>
      </c>
      <c r="BE59" s="16">
        <f t="shared" si="4"/>
        <v>382.06477699999999</v>
      </c>
    </row>
    <row r="60" spans="1:57" ht="12.75" customHeight="1" x14ac:dyDescent="0.2">
      <c r="A60" s="12" t="s">
        <v>106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16"/>
      <c r="AW60" s="16"/>
      <c r="AX60" s="16"/>
      <c r="AY60" s="16"/>
      <c r="AZ60" s="16">
        <f t="shared" si="30"/>
        <v>0</v>
      </c>
      <c r="BA60" s="16"/>
      <c r="BB60" s="16"/>
      <c r="BC60" s="16">
        <v>372.28547500000002</v>
      </c>
      <c r="BD60" s="16">
        <f t="shared" si="31"/>
        <v>372.28547500000002</v>
      </c>
      <c r="BE60" s="16">
        <f t="shared" si="4"/>
        <v>372.28547500000002</v>
      </c>
    </row>
    <row r="61" spans="1:57" ht="12.75" customHeight="1" x14ac:dyDescent="0.2">
      <c r="A61" s="12" t="s">
        <v>107</v>
      </c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16"/>
      <c r="AW61" s="16"/>
      <c r="AX61" s="16"/>
      <c r="AY61" s="16"/>
      <c r="AZ61" s="16">
        <f t="shared" si="30"/>
        <v>0</v>
      </c>
      <c r="BA61" s="16"/>
      <c r="BB61" s="16"/>
      <c r="BC61" s="16">
        <v>0</v>
      </c>
      <c r="BD61" s="16">
        <f t="shared" si="31"/>
        <v>0</v>
      </c>
      <c r="BE61" s="16">
        <f t="shared" si="4"/>
        <v>0</v>
      </c>
    </row>
    <row r="62" spans="1:57" ht="12.75" customHeight="1" x14ac:dyDescent="0.2">
      <c r="A62" s="12" t="s">
        <v>108</v>
      </c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16"/>
      <c r="AW62" s="16"/>
      <c r="AX62" s="16"/>
      <c r="AY62" s="16"/>
      <c r="AZ62" s="16">
        <f t="shared" si="30"/>
        <v>0</v>
      </c>
      <c r="BA62" s="16"/>
      <c r="BB62" s="16"/>
      <c r="BC62" s="16">
        <v>307.20137999999997</v>
      </c>
      <c r="BD62" s="16">
        <f t="shared" si="31"/>
        <v>307.20137999999997</v>
      </c>
      <c r="BE62" s="16">
        <f t="shared" si="4"/>
        <v>307.20137999999997</v>
      </c>
    </row>
    <row r="63" spans="1:57" ht="12.75" customHeight="1" x14ac:dyDescent="0.2">
      <c r="A63" s="12" t="s">
        <v>109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16"/>
      <c r="AW63" s="16"/>
      <c r="AX63" s="16"/>
      <c r="AY63" s="16"/>
      <c r="AZ63" s="16">
        <f t="shared" si="30"/>
        <v>0</v>
      </c>
      <c r="BA63" s="16"/>
      <c r="BB63" s="16"/>
      <c r="BC63" s="16">
        <v>0</v>
      </c>
      <c r="BD63" s="16">
        <f t="shared" si="31"/>
        <v>0</v>
      </c>
      <c r="BE63" s="16">
        <f t="shared" si="4"/>
        <v>0</v>
      </c>
    </row>
    <row r="64" spans="1:57" ht="12.75" customHeight="1" x14ac:dyDescent="0.2">
      <c r="A64" s="12" t="s">
        <v>110</v>
      </c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16"/>
      <c r="AW64" s="16"/>
      <c r="AX64" s="16"/>
      <c r="AY64" s="16"/>
      <c r="AZ64" s="16">
        <f t="shared" si="30"/>
        <v>0</v>
      </c>
      <c r="BA64" s="16"/>
      <c r="BB64" s="16"/>
      <c r="BC64" s="16">
        <v>562.27218500000004</v>
      </c>
      <c r="BD64" s="16">
        <f t="shared" si="31"/>
        <v>562.27218500000004</v>
      </c>
      <c r="BE64" s="16">
        <f t="shared" si="4"/>
        <v>562.27218500000004</v>
      </c>
    </row>
    <row r="65" spans="1:57" ht="12.75" customHeight="1" x14ac:dyDescent="0.2">
      <c r="A65" s="12" t="s">
        <v>111</v>
      </c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16"/>
      <c r="AW65" s="16"/>
      <c r="AX65" s="16"/>
      <c r="AY65" s="16"/>
      <c r="AZ65" s="16">
        <f t="shared" si="30"/>
        <v>0</v>
      </c>
      <c r="BA65" s="16"/>
      <c r="BB65" s="16"/>
      <c r="BC65" s="16">
        <v>289.97670399999998</v>
      </c>
      <c r="BD65" s="16">
        <f t="shared" si="31"/>
        <v>289.97670399999998</v>
      </c>
      <c r="BE65" s="16">
        <f t="shared" si="4"/>
        <v>289.97670399999998</v>
      </c>
    </row>
    <row r="66" spans="1:57" s="24" customFormat="1" ht="12.75" customHeight="1" x14ac:dyDescent="0.2">
      <c r="A66" s="22" t="s">
        <v>112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23"/>
      <c r="AW66" s="23"/>
      <c r="AX66" s="23"/>
      <c r="AY66" s="23"/>
      <c r="AZ66" s="23">
        <f t="shared" si="30"/>
        <v>0</v>
      </c>
      <c r="BA66" s="23"/>
      <c r="BB66" s="23"/>
      <c r="BC66" s="23">
        <v>285.67627099999999</v>
      </c>
      <c r="BD66" s="23">
        <f t="shared" si="31"/>
        <v>285.67627099999999</v>
      </c>
      <c r="BE66" s="23">
        <f t="shared" si="4"/>
        <v>285.67627099999999</v>
      </c>
    </row>
    <row r="67" spans="1:57" ht="12.75" customHeight="1" x14ac:dyDescent="0.2">
      <c r="A67" s="12" t="s">
        <v>113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16"/>
      <c r="AW67" s="16"/>
      <c r="AX67" s="16"/>
      <c r="AY67" s="16"/>
      <c r="AZ67" s="16">
        <f t="shared" si="30"/>
        <v>0</v>
      </c>
      <c r="BA67" s="16"/>
      <c r="BB67" s="16"/>
      <c r="BC67" s="16">
        <v>280.80129199999999</v>
      </c>
      <c r="BD67" s="16">
        <f t="shared" si="31"/>
        <v>280.80129199999999</v>
      </c>
      <c r="BE67" s="16">
        <f t="shared" si="4"/>
        <v>280.80129199999999</v>
      </c>
    </row>
    <row r="68" spans="1:57" ht="12.75" customHeight="1" x14ac:dyDescent="0.2">
      <c r="A68" s="12" t="s">
        <v>114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 t="e">
        <f>1619227.4-#REF!</f>
        <v>#REF!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16"/>
      <c r="AW68" s="16"/>
      <c r="AX68" s="16"/>
      <c r="AY68" s="16"/>
      <c r="AZ68" s="16">
        <f t="shared" si="30"/>
        <v>0</v>
      </c>
      <c r="BA68" s="16"/>
      <c r="BB68" s="16"/>
      <c r="BC68" s="16">
        <v>297.78795600000001</v>
      </c>
      <c r="BD68" s="16">
        <f t="shared" si="31"/>
        <v>297.78795600000001</v>
      </c>
      <c r="BE68" s="16">
        <f t="shared" si="4"/>
        <v>297.78795600000001</v>
      </c>
    </row>
    <row r="69" spans="1:57" ht="12.75" customHeight="1" x14ac:dyDescent="0.2">
      <c r="A69" s="12" t="s">
        <v>115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16"/>
      <c r="AW69" s="16"/>
      <c r="AX69" s="16"/>
      <c r="AY69" s="16"/>
      <c r="AZ69" s="16">
        <f t="shared" si="30"/>
        <v>0</v>
      </c>
      <c r="BA69" s="16"/>
      <c r="BB69" s="16"/>
      <c r="BC69" s="16">
        <v>0</v>
      </c>
      <c r="BD69" s="16">
        <f t="shared" si="31"/>
        <v>0</v>
      </c>
      <c r="BE69" s="16">
        <f t="shared" si="4"/>
        <v>0</v>
      </c>
    </row>
    <row r="70" spans="1:57" ht="12.75" customHeight="1" x14ac:dyDescent="0.2">
      <c r="A70" s="12" t="s">
        <v>116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16"/>
      <c r="AW70" s="16"/>
      <c r="AX70" s="16"/>
      <c r="AY70" s="16"/>
      <c r="AZ70" s="16">
        <f t="shared" si="30"/>
        <v>0</v>
      </c>
      <c r="BA70" s="16"/>
      <c r="BB70" s="16"/>
      <c r="BC70" s="16">
        <v>0</v>
      </c>
      <c r="BD70" s="16">
        <f t="shared" si="31"/>
        <v>0</v>
      </c>
      <c r="BE70" s="16">
        <f t="shared" si="4"/>
        <v>0</v>
      </c>
    </row>
    <row r="71" spans="1:57" ht="12.75" customHeight="1" x14ac:dyDescent="0.2">
      <c r="A71" s="12" t="s">
        <v>117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16"/>
      <c r="AW71" s="16"/>
      <c r="AX71" s="16"/>
      <c r="AY71" s="16"/>
      <c r="AZ71" s="16">
        <f t="shared" si="30"/>
        <v>0</v>
      </c>
      <c r="BA71" s="16"/>
      <c r="BB71" s="16"/>
      <c r="BC71" s="16">
        <v>0</v>
      </c>
      <c r="BD71" s="16">
        <f t="shared" si="31"/>
        <v>0</v>
      </c>
      <c r="BE71" s="16">
        <f t="shared" si="4"/>
        <v>0</v>
      </c>
    </row>
    <row r="72" spans="1:57" ht="12.75" customHeight="1" x14ac:dyDescent="0.2">
      <c r="A72" s="12" t="s">
        <v>118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16"/>
      <c r="AW72" s="16"/>
      <c r="AX72" s="16"/>
      <c r="AY72" s="16"/>
      <c r="AZ72" s="16">
        <f t="shared" si="30"/>
        <v>0</v>
      </c>
      <c r="BA72" s="16"/>
      <c r="BB72" s="16"/>
      <c r="BC72" s="16">
        <v>290.82235600000001</v>
      </c>
      <c r="BD72" s="16">
        <f t="shared" si="31"/>
        <v>290.82235600000001</v>
      </c>
      <c r="BE72" s="16">
        <f t="shared" si="4"/>
        <v>290.82235600000001</v>
      </c>
    </row>
    <row r="73" spans="1:57" ht="12.75" customHeight="1" x14ac:dyDescent="0.2">
      <c r="A73" s="12" t="s">
        <v>119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16"/>
      <c r="AW73" s="16"/>
      <c r="AX73" s="16"/>
      <c r="AY73" s="16"/>
      <c r="AZ73" s="16">
        <f t="shared" si="30"/>
        <v>0</v>
      </c>
      <c r="BA73" s="16"/>
      <c r="BB73" s="16"/>
      <c r="BC73" s="16">
        <v>359.08684</v>
      </c>
      <c r="BD73" s="16">
        <f t="shared" si="31"/>
        <v>359.08684</v>
      </c>
      <c r="BE73" s="16">
        <f t="shared" si="4"/>
        <v>359.08684</v>
      </c>
    </row>
    <row r="74" spans="1:57" ht="12.75" customHeight="1" x14ac:dyDescent="0.2">
      <c r="A74" s="12" t="s">
        <v>120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16"/>
      <c r="AW74" s="16"/>
      <c r="AX74" s="16"/>
      <c r="AY74" s="16"/>
      <c r="AZ74" s="16">
        <f t="shared" si="30"/>
        <v>0</v>
      </c>
      <c r="BA74" s="16"/>
      <c r="BB74" s="16"/>
      <c r="BC74" s="16">
        <v>0</v>
      </c>
      <c r="BD74" s="16">
        <f t="shared" si="31"/>
        <v>0</v>
      </c>
      <c r="BE74" s="16">
        <f t="shared" ref="BE74" si="32">+BD74+AZ74</f>
        <v>0</v>
      </c>
    </row>
    <row r="75" spans="1:57" ht="16.5" customHeight="1" x14ac:dyDescent="0.2">
      <c r="A75" s="8" t="s">
        <v>122</v>
      </c>
      <c r="B75" s="19">
        <f>+B44+B45</f>
        <v>1184926.0049999999</v>
      </c>
      <c r="C75" s="19">
        <f t="shared" ref="C75:BE75" si="33">+C44+C45</f>
        <v>5291.821868</v>
      </c>
      <c r="D75" s="19">
        <f t="shared" si="33"/>
        <v>1465.1172469999999</v>
      </c>
      <c r="E75" s="19">
        <f t="shared" si="33"/>
        <v>36887.087</v>
      </c>
      <c r="F75" s="19">
        <f t="shared" si="33"/>
        <v>1228570.0311149999</v>
      </c>
      <c r="G75" s="19">
        <f t="shared" si="33"/>
        <v>1329495.1768</v>
      </c>
      <c r="H75" s="19">
        <f t="shared" si="33"/>
        <v>6597.2704598</v>
      </c>
      <c r="I75" s="19">
        <f t="shared" si="33"/>
        <v>1487.8571829999998</v>
      </c>
      <c r="J75" s="19">
        <f t="shared" si="33"/>
        <v>39100.312999999987</v>
      </c>
      <c r="K75" s="19">
        <f t="shared" si="33"/>
        <v>1376680.6174428</v>
      </c>
      <c r="L75" s="19">
        <f t="shared" si="33"/>
        <v>1403911.196889</v>
      </c>
      <c r="M75" s="19">
        <f t="shared" si="33"/>
        <v>15193.202661000001</v>
      </c>
      <c r="N75" s="19">
        <f t="shared" si="33"/>
        <v>1379.6996239999999</v>
      </c>
      <c r="O75" s="19">
        <f t="shared" si="33"/>
        <v>41236.996733</v>
      </c>
      <c r="P75" s="19">
        <f t="shared" si="33"/>
        <v>1461721.0959069997</v>
      </c>
      <c r="Q75" s="19">
        <f t="shared" si="33"/>
        <v>1488931.4393850002</v>
      </c>
      <c r="R75" s="19">
        <f t="shared" si="33"/>
        <v>17150.494708999999</v>
      </c>
      <c r="S75" s="19">
        <f t="shared" si="33"/>
        <v>1131.199832</v>
      </c>
      <c r="T75" s="19">
        <f t="shared" si="33"/>
        <v>42803.120459434787</v>
      </c>
      <c r="U75" s="19">
        <f t="shared" si="33"/>
        <v>1550016.254385435</v>
      </c>
      <c r="V75" s="19">
        <f t="shared" si="33"/>
        <v>1589175.8844458167</v>
      </c>
      <c r="W75" s="19">
        <f t="shared" si="33"/>
        <v>23606.874767000001</v>
      </c>
      <c r="X75" s="19">
        <f t="shared" si="33"/>
        <v>966.43638299999998</v>
      </c>
      <c r="Y75" s="19">
        <f t="shared" si="33"/>
        <v>46125.974778599993</v>
      </c>
      <c r="Z75" s="19" t="e">
        <f t="shared" si="33"/>
        <v>#REF!</v>
      </c>
      <c r="AA75" s="19">
        <f t="shared" si="33"/>
        <v>1677535.6820420003</v>
      </c>
      <c r="AB75" s="19">
        <f t="shared" si="33"/>
        <v>26480.532179000002</v>
      </c>
      <c r="AC75" s="19">
        <f t="shared" si="33"/>
        <v>730.48651400000006</v>
      </c>
      <c r="AD75" s="19">
        <f t="shared" si="33"/>
        <v>48270.97527499999</v>
      </c>
      <c r="AE75" s="19">
        <f t="shared" si="33"/>
        <v>1753017.6760099996</v>
      </c>
      <c r="AF75" s="19">
        <f t="shared" si="33"/>
        <v>1761494.9399962998</v>
      </c>
      <c r="AG75" s="19">
        <f t="shared" si="33"/>
        <v>29686.619437999998</v>
      </c>
      <c r="AH75" s="19">
        <f t="shared" si="33"/>
        <v>74.607748999999998</v>
      </c>
      <c r="AI75" s="19">
        <f t="shared" si="33"/>
        <v>50743.791518999999</v>
      </c>
      <c r="AJ75" s="19">
        <f t="shared" si="33"/>
        <v>1841999.9587023</v>
      </c>
      <c r="AK75" s="19">
        <f t="shared" si="33"/>
        <v>1675233.4034059998</v>
      </c>
      <c r="AL75" s="19">
        <f t="shared" si="33"/>
        <v>193639.85490600005</v>
      </c>
      <c r="AM75" s="19">
        <f t="shared" si="33"/>
        <v>34698.793586</v>
      </c>
      <c r="AN75" s="19">
        <f t="shared" si="33"/>
        <v>17983.015737000002</v>
      </c>
      <c r="AO75" s="19">
        <f t="shared" si="33"/>
        <v>13621.499159999999</v>
      </c>
      <c r="AP75" s="19">
        <f t="shared" si="33"/>
        <v>0</v>
      </c>
      <c r="AQ75" s="19">
        <f t="shared" si="33"/>
        <v>13592.28916</v>
      </c>
      <c r="AR75" s="19">
        <f t="shared" si="33"/>
        <v>1948768.8559549998</v>
      </c>
      <c r="AS75" s="19">
        <f t="shared" si="33"/>
        <v>0</v>
      </c>
      <c r="AT75" s="19">
        <f t="shared" si="33"/>
        <v>54085.206752999999</v>
      </c>
      <c r="AU75" s="19">
        <f t="shared" si="33"/>
        <v>2002854.0627079997</v>
      </c>
      <c r="AV75" s="19">
        <f t="shared" si="33"/>
        <v>2532450.6999549996</v>
      </c>
      <c r="AW75" s="19">
        <f t="shared" si="33"/>
        <v>301967.25527299993</v>
      </c>
      <c r="AX75" s="19">
        <f t="shared" si="33"/>
        <v>29314.138017999998</v>
      </c>
      <c r="AY75" s="19">
        <f t="shared" si="33"/>
        <v>32462.967567999996</v>
      </c>
      <c r="AZ75" s="19">
        <f t="shared" si="33"/>
        <v>2896195.0608139993</v>
      </c>
      <c r="BA75" s="19">
        <f t="shared" si="33"/>
        <v>70476.430901</v>
      </c>
      <c r="BB75" s="19">
        <f t="shared" si="33"/>
        <v>27544.323249999994</v>
      </c>
      <c r="BC75" s="19">
        <f t="shared" si="33"/>
        <v>57936.634714999993</v>
      </c>
      <c r="BD75" s="19">
        <f t="shared" si="33"/>
        <v>155957.38886599999</v>
      </c>
      <c r="BE75" s="19">
        <f t="shared" si="33"/>
        <v>3052152.4496799991</v>
      </c>
    </row>
    <row r="76" spans="1:57" x14ac:dyDescent="0.2">
      <c r="A76" s="1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</row>
    <row r="77" spans="1:57" ht="15.75" x14ac:dyDescent="0.25">
      <c r="A77" s="46" t="s">
        <v>154</v>
      </c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</row>
    <row r="78" spans="1:57" x14ac:dyDescent="0.2"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</row>
    <row r="79" spans="1:57" x14ac:dyDescent="0.2">
      <c r="A79" s="1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</row>
    <row r="80" spans="1:57" x14ac:dyDescent="0.2">
      <c r="A80" s="1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</row>
    <row r="81" spans="1:47" s="2" customFormat="1" x14ac:dyDescent="0.2">
      <c r="A81" s="1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</row>
    <row r="82" spans="1:47" s="2" customFormat="1" x14ac:dyDescent="0.2">
      <c r="A82" s="1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</row>
    <row r="83" spans="1:47" s="2" customFormat="1" x14ac:dyDescent="0.2">
      <c r="A83" s="1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</row>
    <row r="84" spans="1:47" s="2" customFormat="1" x14ac:dyDescent="0.2">
      <c r="A84" s="1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</row>
    <row r="85" spans="1:47" s="2" customFormat="1" x14ac:dyDescent="0.2">
      <c r="A85" s="1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</row>
    <row r="86" spans="1:47" s="2" customFormat="1" x14ac:dyDescent="0.2">
      <c r="A86" s="1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</row>
    <row r="87" spans="1:47" s="2" customFormat="1" x14ac:dyDescent="0.2">
      <c r="A87" s="1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</row>
    <row r="88" spans="1:47" s="2" customFormat="1" x14ac:dyDescent="0.2">
      <c r="A88" s="1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</row>
    <row r="89" spans="1:47" s="2" customFormat="1" x14ac:dyDescent="0.2">
      <c r="A89" s="1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</row>
    <row r="90" spans="1:47" s="2" customFormat="1" x14ac:dyDescent="0.2">
      <c r="A90" s="1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</row>
    <row r="91" spans="1:47" s="2" customFormat="1" x14ac:dyDescent="0.2">
      <c r="A91" s="1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</row>
    <row r="92" spans="1:47" s="2" customFormat="1" x14ac:dyDescent="0.2">
      <c r="A92" s="1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</row>
    <row r="93" spans="1:47" s="2" customFormat="1" x14ac:dyDescent="0.2">
      <c r="A93" s="1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</row>
    <row r="94" spans="1:47" s="2" customFormat="1" x14ac:dyDescent="0.2">
      <c r="A94" s="1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</row>
    <row r="95" spans="1:47" s="2" customFormat="1" x14ac:dyDescent="0.2">
      <c r="A95" s="1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</row>
    <row r="96" spans="1:47" s="2" customFormat="1" x14ac:dyDescent="0.2">
      <c r="A96" s="1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</row>
    <row r="97" spans="1:47" s="2" customFormat="1" x14ac:dyDescent="0.2">
      <c r="A97" s="1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</row>
    <row r="98" spans="1:47" s="2" customFormat="1" x14ac:dyDescent="0.2">
      <c r="A98" s="1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</row>
    <row r="99" spans="1:47" s="2" customFormat="1" x14ac:dyDescent="0.2">
      <c r="A99" s="1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</row>
    <row r="100" spans="1:47" s="2" customFormat="1" x14ac:dyDescent="0.2">
      <c r="A100" s="1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</row>
    <row r="101" spans="1:47" s="2" customFormat="1" x14ac:dyDescent="0.2">
      <c r="A101" s="1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</row>
    <row r="102" spans="1:47" s="2" customFormat="1" x14ac:dyDescent="0.2">
      <c r="A102" s="1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</row>
    <row r="103" spans="1:47" s="2" customFormat="1" x14ac:dyDescent="0.2">
      <c r="A103" s="1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</row>
    <row r="104" spans="1:47" s="2" customFormat="1" x14ac:dyDescent="0.2">
      <c r="A104" s="1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</row>
    <row r="105" spans="1:47" s="2" customFormat="1" x14ac:dyDescent="0.2">
      <c r="A105" s="1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</row>
    <row r="106" spans="1:47" s="2" customFormat="1" x14ac:dyDescent="0.2">
      <c r="A106" s="1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</row>
    <row r="107" spans="1:47" s="2" customFormat="1" x14ac:dyDescent="0.2">
      <c r="A107" s="1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</row>
    <row r="108" spans="1:47" s="2" customFormat="1" x14ac:dyDescent="0.2">
      <c r="A108" s="1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</row>
    <row r="109" spans="1:47" s="2" customFormat="1" x14ac:dyDescent="0.2">
      <c r="A109" s="1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</row>
    <row r="110" spans="1:47" s="2" customFormat="1" x14ac:dyDescent="0.2">
      <c r="A110" s="1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</row>
    <row r="111" spans="1:47" s="2" customFormat="1" x14ac:dyDescent="0.2">
      <c r="A111" s="1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</row>
    <row r="112" spans="1:47" s="2" customFormat="1" x14ac:dyDescent="0.2">
      <c r="A112" s="1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</row>
    <row r="113" spans="1:47" s="2" customFormat="1" x14ac:dyDescent="0.2">
      <c r="A113" s="1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</row>
    <row r="114" spans="1:47" s="2" customFormat="1" x14ac:dyDescent="0.2">
      <c r="A114" s="1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</row>
    <row r="115" spans="1:47" s="2" customFormat="1" x14ac:dyDescent="0.2">
      <c r="A115" s="1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</row>
    <row r="116" spans="1:47" s="2" customFormat="1" x14ac:dyDescent="0.2">
      <c r="A116" s="1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</row>
    <row r="117" spans="1:47" s="2" customFormat="1" x14ac:dyDescent="0.2">
      <c r="A117" s="1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</row>
    <row r="118" spans="1:47" s="2" customFormat="1" x14ac:dyDescent="0.2">
      <c r="A118" s="1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</row>
    <row r="119" spans="1:47" s="2" customFormat="1" x14ac:dyDescent="0.2">
      <c r="A119" s="1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</row>
    <row r="120" spans="1:47" s="2" customFormat="1" x14ac:dyDescent="0.2">
      <c r="A120" s="1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</row>
    <row r="121" spans="1:47" s="2" customFormat="1" x14ac:dyDescent="0.2">
      <c r="A121" s="1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</row>
    <row r="122" spans="1:47" s="2" customFormat="1" x14ac:dyDescent="0.2">
      <c r="A122" s="1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</row>
    <row r="123" spans="1:47" s="2" customFormat="1" x14ac:dyDescent="0.2">
      <c r="A123" s="1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</row>
    <row r="124" spans="1:47" s="2" customFormat="1" x14ac:dyDescent="0.2">
      <c r="A124" s="1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</row>
    <row r="125" spans="1:47" s="2" customFormat="1" x14ac:dyDescent="0.2">
      <c r="A125" s="1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</row>
    <row r="126" spans="1:47" s="2" customFormat="1" x14ac:dyDescent="0.2">
      <c r="A126" s="1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</row>
    <row r="127" spans="1:47" s="2" customFormat="1" x14ac:dyDescent="0.2">
      <c r="A127" s="1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</row>
    <row r="128" spans="1:47" s="2" customFormat="1" x14ac:dyDescent="0.2">
      <c r="A128" s="1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</row>
    <row r="129" spans="1:47" s="2" customFormat="1" x14ac:dyDescent="0.2">
      <c r="A129" s="1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</row>
    <row r="130" spans="1:47" s="2" customFormat="1" x14ac:dyDescent="0.2">
      <c r="A130" s="1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</row>
    <row r="131" spans="1:47" s="2" customFormat="1" x14ac:dyDescent="0.2">
      <c r="A131" s="1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</row>
    <row r="132" spans="1:47" s="2" customFormat="1" x14ac:dyDescent="0.2">
      <c r="A132" s="1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</row>
    <row r="133" spans="1:47" s="2" customFormat="1" x14ac:dyDescent="0.2">
      <c r="A133" s="1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</row>
    <row r="134" spans="1:47" s="2" customFormat="1" x14ac:dyDescent="0.2">
      <c r="A134" s="1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</row>
    <row r="135" spans="1:47" s="2" customFormat="1" x14ac:dyDescent="0.2">
      <c r="A135" s="1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</row>
    <row r="136" spans="1:47" s="2" customFormat="1" x14ac:dyDescent="0.2">
      <c r="A136" s="1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</row>
    <row r="137" spans="1:47" s="2" customFormat="1" x14ac:dyDescent="0.2">
      <c r="A137" s="1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</row>
    <row r="138" spans="1:47" s="2" customFormat="1" x14ac:dyDescent="0.2">
      <c r="A138" s="1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</row>
    <row r="139" spans="1:47" s="2" customFormat="1" x14ac:dyDescent="0.2">
      <c r="A139" s="1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</row>
    <row r="140" spans="1:47" s="2" customFormat="1" x14ac:dyDescent="0.2">
      <c r="A140" s="1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</row>
    <row r="141" spans="1:47" s="2" customFormat="1" x14ac:dyDescent="0.2">
      <c r="A141" s="1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</row>
    <row r="142" spans="1:47" s="2" customFormat="1" x14ac:dyDescent="0.2">
      <c r="A142" s="1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</row>
    <row r="143" spans="1:47" s="2" customFormat="1" x14ac:dyDescent="0.2">
      <c r="A143" s="1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</row>
    <row r="144" spans="1:47" s="2" customFormat="1" x14ac:dyDescent="0.2">
      <c r="A144" s="1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</row>
    <row r="145" spans="1:47" s="2" customFormat="1" x14ac:dyDescent="0.2">
      <c r="A145" s="1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34"/>
    </row>
    <row r="146" spans="1:47" s="2" customFormat="1" x14ac:dyDescent="0.2">
      <c r="A146" s="1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</row>
    <row r="147" spans="1:47" s="2" customFormat="1" x14ac:dyDescent="0.2">
      <c r="A147" s="1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</row>
    <row r="148" spans="1:47" s="2" customFormat="1" x14ac:dyDescent="0.2">
      <c r="A148" s="1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</row>
    <row r="149" spans="1:47" s="2" customFormat="1" x14ac:dyDescent="0.2">
      <c r="A149" s="1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</row>
    <row r="150" spans="1:47" s="2" customFormat="1" x14ac:dyDescent="0.2">
      <c r="A150" s="1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</row>
    <row r="151" spans="1:47" s="2" customFormat="1" x14ac:dyDescent="0.2">
      <c r="A151" s="1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</row>
    <row r="152" spans="1:47" s="2" customFormat="1" x14ac:dyDescent="0.2">
      <c r="A152" s="1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</row>
    <row r="153" spans="1:47" s="2" customFormat="1" x14ac:dyDescent="0.2">
      <c r="A153" s="1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</row>
    <row r="154" spans="1:47" s="2" customFormat="1" x14ac:dyDescent="0.2">
      <c r="A154" s="1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</row>
    <row r="155" spans="1:47" s="2" customFormat="1" x14ac:dyDescent="0.2">
      <c r="A155" s="1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</row>
    <row r="156" spans="1:47" s="2" customFormat="1" x14ac:dyDescent="0.2">
      <c r="A156" s="1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</row>
    <row r="157" spans="1:47" s="2" customFormat="1" x14ac:dyDescent="0.2">
      <c r="A157" s="1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</row>
    <row r="158" spans="1:47" s="2" customFormat="1" x14ac:dyDescent="0.2">
      <c r="A158" s="1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</row>
    <row r="159" spans="1:47" s="2" customFormat="1" x14ac:dyDescent="0.2">
      <c r="A159" s="1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</row>
    <row r="160" spans="1:47" s="2" customFormat="1" x14ac:dyDescent="0.2">
      <c r="A160" s="1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</row>
    <row r="161" spans="1:47" s="2" customFormat="1" x14ac:dyDescent="0.2">
      <c r="A161" s="1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</row>
    <row r="162" spans="1:47" s="2" customFormat="1" x14ac:dyDescent="0.2">
      <c r="A162" s="1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</row>
    <row r="163" spans="1:47" s="2" customFormat="1" x14ac:dyDescent="0.2">
      <c r="A163" s="1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</row>
    <row r="164" spans="1:47" s="2" customFormat="1" x14ac:dyDescent="0.2">
      <c r="A164" s="1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</row>
    <row r="165" spans="1:47" s="2" customFormat="1" x14ac:dyDescent="0.2">
      <c r="A165" s="1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T165" s="34"/>
      <c r="AU165" s="34"/>
    </row>
    <row r="166" spans="1:47" s="2" customFormat="1" x14ac:dyDescent="0.2">
      <c r="A166" s="1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  <c r="AT166" s="34"/>
      <c r="AU166" s="34"/>
    </row>
    <row r="167" spans="1:47" s="2" customFormat="1" x14ac:dyDescent="0.2">
      <c r="A167" s="1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</row>
    <row r="168" spans="1:47" s="2" customFormat="1" x14ac:dyDescent="0.2">
      <c r="A168" s="1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</row>
    <row r="169" spans="1:47" s="2" customFormat="1" x14ac:dyDescent="0.2">
      <c r="A169" s="1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</row>
    <row r="170" spans="1:47" s="2" customFormat="1" x14ac:dyDescent="0.2">
      <c r="A170" s="1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T170" s="34"/>
      <c r="AU170" s="34"/>
    </row>
    <row r="171" spans="1:47" s="2" customFormat="1" x14ac:dyDescent="0.2">
      <c r="A171" s="1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34"/>
    </row>
    <row r="172" spans="1:47" s="2" customFormat="1" x14ac:dyDescent="0.2">
      <c r="A172" s="1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34"/>
    </row>
    <row r="173" spans="1:47" s="2" customFormat="1" x14ac:dyDescent="0.2">
      <c r="A173" s="1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F173" s="34"/>
      <c r="AG173" s="34"/>
      <c r="AH173" s="34"/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T173" s="34"/>
      <c r="AU173" s="34"/>
    </row>
    <row r="174" spans="1:47" s="2" customFormat="1" x14ac:dyDescent="0.2">
      <c r="A174" s="1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F174" s="34"/>
      <c r="AG174" s="34"/>
      <c r="AH174" s="34"/>
      <c r="AI174" s="34"/>
      <c r="AJ174" s="34"/>
      <c r="AK174" s="34"/>
      <c r="AL174" s="34"/>
      <c r="AM174" s="34"/>
      <c r="AN174" s="34"/>
      <c r="AO174" s="34"/>
      <c r="AP174" s="34"/>
      <c r="AQ174" s="34"/>
      <c r="AR174" s="34"/>
      <c r="AS174" s="34"/>
      <c r="AT174" s="34"/>
      <c r="AU174" s="34"/>
    </row>
    <row r="175" spans="1:47" s="2" customFormat="1" x14ac:dyDescent="0.2">
      <c r="A175" s="1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T175" s="34"/>
      <c r="AU175" s="34"/>
    </row>
    <row r="176" spans="1:47" s="2" customFormat="1" x14ac:dyDescent="0.2">
      <c r="A176" s="1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F176" s="34"/>
      <c r="AG176" s="34"/>
      <c r="AH176" s="34"/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  <c r="AS176" s="34"/>
      <c r="AT176" s="34"/>
      <c r="AU176" s="34"/>
    </row>
    <row r="177" spans="1:47" s="2" customFormat="1" x14ac:dyDescent="0.2">
      <c r="A177" s="1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T177" s="34"/>
      <c r="AU177" s="34"/>
    </row>
    <row r="178" spans="1:47" s="2" customFormat="1" x14ac:dyDescent="0.2">
      <c r="A178" s="1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34"/>
    </row>
    <row r="179" spans="1:47" s="2" customFormat="1" x14ac:dyDescent="0.2">
      <c r="A179" s="1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  <c r="AS179" s="34"/>
      <c r="AT179" s="34"/>
      <c r="AU179" s="34"/>
    </row>
    <row r="180" spans="1:47" s="2" customFormat="1" x14ac:dyDescent="0.2">
      <c r="A180" s="1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F180" s="34"/>
      <c r="AG180" s="34"/>
      <c r="AH180" s="34"/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  <c r="AS180" s="34"/>
      <c r="AT180" s="34"/>
      <c r="AU180" s="34"/>
    </row>
    <row r="181" spans="1:47" s="2" customFormat="1" x14ac:dyDescent="0.2">
      <c r="A181" s="1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</row>
    <row r="182" spans="1:47" s="2" customFormat="1" x14ac:dyDescent="0.2">
      <c r="A182" s="1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F182" s="34"/>
      <c r="AG182" s="34"/>
      <c r="AH182" s="34"/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  <c r="AS182" s="34"/>
      <c r="AT182" s="34"/>
      <c r="AU182" s="34"/>
    </row>
    <row r="183" spans="1:47" s="2" customFormat="1" x14ac:dyDescent="0.2">
      <c r="A183" s="1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</row>
    <row r="184" spans="1:47" s="2" customFormat="1" x14ac:dyDescent="0.2">
      <c r="A184" s="1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</row>
    <row r="185" spans="1:47" s="2" customFormat="1" x14ac:dyDescent="0.2">
      <c r="A185" s="1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</row>
    <row r="186" spans="1:47" s="2" customFormat="1" x14ac:dyDescent="0.2">
      <c r="A186" s="1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F186" s="34"/>
      <c r="AG186" s="34"/>
      <c r="AH186" s="34"/>
      <c r="AI186" s="34"/>
      <c r="AJ186" s="34"/>
      <c r="AK186" s="34"/>
      <c r="AL186" s="34"/>
      <c r="AM186" s="34"/>
      <c r="AN186" s="34"/>
      <c r="AO186" s="34"/>
      <c r="AP186" s="34"/>
      <c r="AQ186" s="34"/>
      <c r="AR186" s="34"/>
      <c r="AS186" s="34"/>
      <c r="AT186" s="34"/>
      <c r="AU186" s="34"/>
    </row>
    <row r="187" spans="1:47" s="2" customFormat="1" x14ac:dyDescent="0.2">
      <c r="A187" s="1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</row>
    <row r="188" spans="1:47" s="2" customFormat="1" x14ac:dyDescent="0.2">
      <c r="A188" s="1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</row>
    <row r="189" spans="1:47" s="2" customFormat="1" x14ac:dyDescent="0.2">
      <c r="A189" s="1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</row>
    <row r="190" spans="1:47" s="2" customFormat="1" x14ac:dyDescent="0.2">
      <c r="A190" s="1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</row>
    <row r="191" spans="1:47" s="2" customFormat="1" x14ac:dyDescent="0.2">
      <c r="A191" s="1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</row>
    <row r="192" spans="1:47" s="2" customFormat="1" x14ac:dyDescent="0.2">
      <c r="A192" s="1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</row>
    <row r="193" spans="1:47" s="2" customFormat="1" x14ac:dyDescent="0.2">
      <c r="A193" s="1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</row>
    <row r="194" spans="1:47" s="2" customFormat="1" x14ac:dyDescent="0.2">
      <c r="A194" s="1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F194" s="34"/>
      <c r="AG194" s="34"/>
      <c r="AH194" s="34"/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34"/>
    </row>
    <row r="195" spans="1:47" s="2" customFormat="1" x14ac:dyDescent="0.2">
      <c r="A195" s="1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</row>
    <row r="196" spans="1:47" s="2" customFormat="1" x14ac:dyDescent="0.2">
      <c r="A196" s="1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34"/>
    </row>
    <row r="197" spans="1:47" s="2" customFormat="1" x14ac:dyDescent="0.2">
      <c r="A197" s="1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</row>
  </sheetData>
  <mergeCells count="51">
    <mergeCell ref="A6:A8"/>
    <mergeCell ref="B6:F6"/>
    <mergeCell ref="G6:K6"/>
    <mergeCell ref="L6:P6"/>
    <mergeCell ref="Q6:U6"/>
    <mergeCell ref="J7:J8"/>
    <mergeCell ref="K7:K8"/>
    <mergeCell ref="L7:M7"/>
    <mergeCell ref="N7:N8"/>
    <mergeCell ref="T7:T8"/>
    <mergeCell ref="U7:U8"/>
    <mergeCell ref="AA6:AE6"/>
    <mergeCell ref="AF6:AJ6"/>
    <mergeCell ref="AK6:AU6"/>
    <mergeCell ref="AV6:BE6"/>
    <mergeCell ref="B7:C7"/>
    <mergeCell ref="D7:D8"/>
    <mergeCell ref="E7:E8"/>
    <mergeCell ref="F7:F8"/>
    <mergeCell ref="G7:H7"/>
    <mergeCell ref="I7:I8"/>
    <mergeCell ref="V6:Z6"/>
    <mergeCell ref="AC7:AC8"/>
    <mergeCell ref="O7:O8"/>
    <mergeCell ref="P7:P8"/>
    <mergeCell ref="Q7:R7"/>
    <mergeCell ref="S7:S8"/>
    <mergeCell ref="V7:W7"/>
    <mergeCell ref="X7:X8"/>
    <mergeCell ref="Y7:Y8"/>
    <mergeCell ref="Z7:Z8"/>
    <mergeCell ref="AA7:AB7"/>
    <mergeCell ref="AP7:AP8"/>
    <mergeCell ref="AD7:AD8"/>
    <mergeCell ref="AE7:AE8"/>
    <mergeCell ref="AF7:AG7"/>
    <mergeCell ref="AH7:AH8"/>
    <mergeCell ref="AI7:AI8"/>
    <mergeCell ref="AJ7:AJ8"/>
    <mergeCell ref="AK7:AK8"/>
    <mergeCell ref="AL7:AL8"/>
    <mergeCell ref="AM7:AM8"/>
    <mergeCell ref="AN7:AN8"/>
    <mergeCell ref="AO7:AO8"/>
    <mergeCell ref="BA7:BE7"/>
    <mergeCell ref="AQ7:AQ8"/>
    <mergeCell ref="AR7:AR8"/>
    <mergeCell ref="AS7:AS8"/>
    <mergeCell ref="AT7:AT8"/>
    <mergeCell ref="AU7:AU8"/>
    <mergeCell ref="AV7:AZ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19"/>
  <sheetViews>
    <sheetView showGridLines="0" workbookViewId="0">
      <selection activeCell="M10" sqref="M10"/>
    </sheetView>
  </sheetViews>
  <sheetFormatPr baseColWidth="10" defaultRowHeight="12.75" x14ac:dyDescent="0.2"/>
  <cols>
    <col min="1" max="1" width="9.5703125" bestFit="1" customWidth="1"/>
    <col min="2" max="2" width="14.140625" bestFit="1" customWidth="1"/>
    <col min="3" max="5" width="11.5703125" bestFit="1" customWidth="1"/>
    <col min="6" max="7" width="12.7109375" bestFit="1" customWidth="1"/>
    <col min="8" max="10" width="11.5703125" bestFit="1" customWidth="1"/>
    <col min="11" max="11" width="12.7109375" bestFit="1" customWidth="1"/>
    <col min="12" max="12" width="11.5703125" bestFit="1" customWidth="1"/>
    <col min="13" max="14" width="12.7109375" bestFit="1" customWidth="1"/>
    <col min="15" max="15" width="11.5703125" bestFit="1" customWidth="1"/>
  </cols>
  <sheetData>
    <row r="2" spans="1:2" x14ac:dyDescent="0.2">
      <c r="A2" t="s">
        <v>157</v>
      </c>
    </row>
    <row r="4" spans="1:2" ht="15" x14ac:dyDescent="0.25">
      <c r="A4" s="48" t="s">
        <v>155</v>
      </c>
      <c r="B4" s="48" t="s">
        <v>156</v>
      </c>
    </row>
    <row r="5" spans="1:2" ht="14.25" x14ac:dyDescent="0.2">
      <c r="A5" s="47">
        <v>2002</v>
      </c>
      <c r="B5" s="49">
        <v>166898332</v>
      </c>
    </row>
    <row r="6" spans="1:2" ht="14.25" x14ac:dyDescent="0.2">
      <c r="A6" s="47">
        <v>2003</v>
      </c>
      <c r="B6" s="49">
        <v>156234389</v>
      </c>
    </row>
    <row r="7" spans="1:2" ht="14.25" x14ac:dyDescent="0.2">
      <c r="A7" s="47">
        <v>2004</v>
      </c>
      <c r="B7" s="49">
        <v>474154451</v>
      </c>
    </row>
    <row r="8" spans="1:2" ht="14.25" x14ac:dyDescent="0.2">
      <c r="A8" s="47">
        <v>2005</v>
      </c>
      <c r="B8" s="49">
        <v>833401380</v>
      </c>
    </row>
    <row r="9" spans="1:2" ht="14.25" x14ac:dyDescent="0.2">
      <c r="A9" s="47">
        <v>2006</v>
      </c>
      <c r="B9" s="49">
        <v>702224208</v>
      </c>
    </row>
    <row r="10" spans="1:2" ht="14.25" x14ac:dyDescent="0.2">
      <c r="A10" s="47">
        <v>2007</v>
      </c>
      <c r="B10" s="49">
        <v>1146677346</v>
      </c>
    </row>
    <row r="11" spans="1:2" ht="14.25" x14ac:dyDescent="0.2">
      <c r="A11" s="47">
        <v>2008</v>
      </c>
      <c r="B11" s="49">
        <v>1128892740</v>
      </c>
    </row>
    <row r="12" spans="1:2" ht="14.25" x14ac:dyDescent="0.2">
      <c r="A12" s="47">
        <v>2009</v>
      </c>
      <c r="B12" s="49">
        <v>448039625</v>
      </c>
    </row>
    <row r="13" spans="1:2" ht="14.25" x14ac:dyDescent="0.2">
      <c r="A13" s="47">
        <v>2010</v>
      </c>
      <c r="B13" s="49">
        <v>66481286</v>
      </c>
    </row>
    <row r="14" spans="1:2" ht="14.25" x14ac:dyDescent="0.2">
      <c r="A14" s="47">
        <v>2011</v>
      </c>
      <c r="B14" s="49">
        <v>516023008</v>
      </c>
    </row>
    <row r="15" spans="1:2" ht="14.25" x14ac:dyDescent="0.2">
      <c r="A15" s="47">
        <v>2012</v>
      </c>
      <c r="B15" s="49">
        <v>1415573994</v>
      </c>
    </row>
    <row r="16" spans="1:2" ht="14.25" x14ac:dyDescent="0.2">
      <c r="A16" s="47">
        <v>2013</v>
      </c>
      <c r="B16" s="50">
        <v>858758760</v>
      </c>
    </row>
    <row r="17" spans="1:2" ht="14.25" x14ac:dyDescent="0.2">
      <c r="A17" s="47">
        <v>2014</v>
      </c>
      <c r="B17" s="50">
        <v>1001361102</v>
      </c>
    </row>
    <row r="18" spans="1:2" ht="14.25" x14ac:dyDescent="0.2">
      <c r="A18" s="47">
        <v>2015</v>
      </c>
      <c r="B18" s="50">
        <v>1132621940</v>
      </c>
    </row>
    <row r="19" spans="1:2" ht="14.25" x14ac:dyDescent="0.2">
      <c r="A19" s="47">
        <v>2016</v>
      </c>
      <c r="B19" s="49">
        <v>858083521</v>
      </c>
    </row>
  </sheetData>
  <pageMargins left="0.7" right="0.7" top="0.75" bottom="0.75" header="0.3" footer="0.3"/>
  <pageSetup paperSize="4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63"/>
  <sheetViews>
    <sheetView showGridLines="0" topLeftCell="A31" workbookViewId="0">
      <selection activeCell="G54" sqref="G54"/>
    </sheetView>
  </sheetViews>
  <sheetFormatPr baseColWidth="10" defaultRowHeight="12.75" x14ac:dyDescent="0.2"/>
  <cols>
    <col min="1" max="1" width="11.5703125" customWidth="1"/>
    <col min="2" max="2" width="56.5703125" customWidth="1"/>
    <col min="3" max="3" width="24.140625" customWidth="1"/>
  </cols>
  <sheetData>
    <row r="1" spans="1:3" ht="15" x14ac:dyDescent="0.25">
      <c r="A1" s="77" t="s">
        <v>190</v>
      </c>
      <c r="B1" s="77" t="s">
        <v>191</v>
      </c>
      <c r="C1" s="77" t="s">
        <v>192</v>
      </c>
    </row>
    <row r="2" spans="1:3" x14ac:dyDescent="0.2">
      <c r="A2" s="80">
        <v>1101</v>
      </c>
      <c r="B2" s="81" t="s">
        <v>193</v>
      </c>
      <c r="C2" s="81" t="s">
        <v>158</v>
      </c>
    </row>
    <row r="3" spans="1:3" x14ac:dyDescent="0.2">
      <c r="A3" s="80">
        <v>1105</v>
      </c>
      <c r="B3" s="81" t="s">
        <v>194</v>
      </c>
      <c r="C3" s="81" t="s">
        <v>158</v>
      </c>
    </row>
    <row r="4" spans="1:3" x14ac:dyDescent="0.2">
      <c r="A4" s="80">
        <v>1106</v>
      </c>
      <c r="B4" s="81" t="s">
        <v>195</v>
      </c>
      <c r="C4" s="81" t="s">
        <v>161</v>
      </c>
    </row>
    <row r="5" spans="1:3" x14ac:dyDescent="0.2">
      <c r="A5" s="80">
        <v>1110</v>
      </c>
      <c r="B5" s="81" t="s">
        <v>196</v>
      </c>
      <c r="C5" s="81" t="s">
        <v>159</v>
      </c>
    </row>
    <row r="6" spans="1:3" x14ac:dyDescent="0.2">
      <c r="A6" s="80">
        <v>1111</v>
      </c>
      <c r="B6" s="81" t="s">
        <v>197</v>
      </c>
      <c r="C6" s="81" t="s">
        <v>164</v>
      </c>
    </row>
    <row r="7" spans="1:3" x14ac:dyDescent="0.2">
      <c r="A7" s="80">
        <v>1112</v>
      </c>
      <c r="B7" s="81" t="s">
        <v>198</v>
      </c>
      <c r="C7" s="81" t="s">
        <v>160</v>
      </c>
    </row>
    <row r="8" spans="1:3" x14ac:dyDescent="0.2">
      <c r="A8" s="80">
        <v>1113</v>
      </c>
      <c r="B8" s="81" t="s">
        <v>199</v>
      </c>
      <c r="C8" s="81" t="s">
        <v>200</v>
      </c>
    </row>
    <row r="9" spans="1:3" x14ac:dyDescent="0.2">
      <c r="A9" s="80">
        <v>1114</v>
      </c>
      <c r="B9" s="81" t="s">
        <v>201</v>
      </c>
      <c r="C9" s="81" t="s">
        <v>166</v>
      </c>
    </row>
    <row r="10" spans="1:3" x14ac:dyDescent="0.2">
      <c r="A10" s="80">
        <v>1115</v>
      </c>
      <c r="B10" s="81" t="s">
        <v>202</v>
      </c>
      <c r="C10" s="81" t="s">
        <v>203</v>
      </c>
    </row>
    <row r="11" spans="1:3" x14ac:dyDescent="0.2">
      <c r="A11" s="80">
        <v>1117</v>
      </c>
      <c r="B11" s="81" t="s">
        <v>204</v>
      </c>
      <c r="C11" s="81" t="s">
        <v>158</v>
      </c>
    </row>
    <row r="12" spans="1:3" ht="25.5" x14ac:dyDescent="0.2">
      <c r="A12" s="80">
        <v>1118</v>
      </c>
      <c r="B12" s="81" t="s">
        <v>205</v>
      </c>
      <c r="C12" s="81" t="s">
        <v>162</v>
      </c>
    </row>
    <row r="13" spans="1:3" x14ac:dyDescent="0.2">
      <c r="A13" s="80">
        <v>1119</v>
      </c>
      <c r="B13" s="81" t="s">
        <v>206</v>
      </c>
      <c r="C13" s="81" t="s">
        <v>163</v>
      </c>
    </row>
    <row r="14" spans="1:3" x14ac:dyDescent="0.2">
      <c r="A14" s="80">
        <v>1120</v>
      </c>
      <c r="B14" s="81" t="s">
        <v>207</v>
      </c>
      <c r="C14" s="81" t="s">
        <v>165</v>
      </c>
    </row>
    <row r="15" spans="1:3" x14ac:dyDescent="0.2">
      <c r="A15" s="80">
        <v>1121</v>
      </c>
      <c r="B15" s="81" t="s">
        <v>208</v>
      </c>
      <c r="C15" s="81" t="s">
        <v>158</v>
      </c>
    </row>
    <row r="16" spans="1:3" x14ac:dyDescent="0.2">
      <c r="A16" s="80">
        <v>1122</v>
      </c>
      <c r="B16" s="81" t="s">
        <v>209</v>
      </c>
      <c r="C16" s="81" t="s">
        <v>167</v>
      </c>
    </row>
    <row r="17" spans="1:3" x14ac:dyDescent="0.2">
      <c r="A17" s="80">
        <v>1201</v>
      </c>
      <c r="B17" s="81" t="s">
        <v>210</v>
      </c>
      <c r="C17" s="81" t="s">
        <v>168</v>
      </c>
    </row>
    <row r="18" spans="1:3" x14ac:dyDescent="0.2">
      <c r="A18" s="80">
        <v>1202</v>
      </c>
      <c r="B18" s="81" t="s">
        <v>211</v>
      </c>
      <c r="C18" s="81" t="s">
        <v>171</v>
      </c>
    </row>
    <row r="19" spans="1:3" x14ac:dyDescent="0.2">
      <c r="A19" s="80">
        <v>1203</v>
      </c>
      <c r="B19" s="81" t="s">
        <v>212</v>
      </c>
      <c r="C19" s="81" t="s">
        <v>167</v>
      </c>
    </row>
    <row r="20" spans="1:3" x14ac:dyDescent="0.2">
      <c r="A20" s="80">
        <v>1204</v>
      </c>
      <c r="B20" s="81" t="s">
        <v>213</v>
      </c>
      <c r="C20" s="81" t="s">
        <v>174</v>
      </c>
    </row>
    <row r="21" spans="1:3" x14ac:dyDescent="0.2">
      <c r="A21" s="80">
        <v>1205</v>
      </c>
      <c r="B21" s="81" t="s">
        <v>214</v>
      </c>
      <c r="C21" s="81" t="s">
        <v>169</v>
      </c>
    </row>
    <row r="22" spans="1:3" x14ac:dyDescent="0.2">
      <c r="A22" s="80">
        <v>1206</v>
      </c>
      <c r="B22" s="81" t="s">
        <v>215</v>
      </c>
      <c r="C22" s="81" t="s">
        <v>216</v>
      </c>
    </row>
    <row r="23" spans="1:3" x14ac:dyDescent="0.2">
      <c r="A23" s="80">
        <v>1207</v>
      </c>
      <c r="B23" s="81" t="s">
        <v>217</v>
      </c>
      <c r="C23" s="81" t="s">
        <v>173</v>
      </c>
    </row>
    <row r="24" spans="1:3" x14ac:dyDescent="0.2">
      <c r="A24" s="80">
        <v>1208</v>
      </c>
      <c r="B24" s="81" t="s">
        <v>218</v>
      </c>
      <c r="C24" s="81" t="s">
        <v>172</v>
      </c>
    </row>
    <row r="25" spans="1:3" ht="25.5" x14ac:dyDescent="0.2">
      <c r="A25" s="80">
        <v>1209</v>
      </c>
      <c r="B25" s="81" t="s">
        <v>219</v>
      </c>
      <c r="C25" s="81" t="s">
        <v>170</v>
      </c>
    </row>
    <row r="26" spans="1:3" x14ac:dyDescent="0.2">
      <c r="A26" s="80">
        <v>1210</v>
      </c>
      <c r="B26" s="81" t="s">
        <v>220</v>
      </c>
      <c r="C26" s="81" t="s">
        <v>170</v>
      </c>
    </row>
    <row r="27" spans="1:3" x14ac:dyDescent="0.2">
      <c r="A27" s="80">
        <v>1212</v>
      </c>
      <c r="B27" s="81" t="s">
        <v>221</v>
      </c>
      <c r="C27" s="81" t="s">
        <v>170</v>
      </c>
    </row>
    <row r="28" spans="1:3" x14ac:dyDescent="0.2">
      <c r="A28" s="80">
        <v>1213</v>
      </c>
      <c r="B28" s="81" t="s">
        <v>222</v>
      </c>
      <c r="C28" s="81" t="s">
        <v>175</v>
      </c>
    </row>
    <row r="29" spans="1:3" x14ac:dyDescent="0.2">
      <c r="A29" s="80">
        <v>1214</v>
      </c>
      <c r="B29" s="81" t="s">
        <v>223</v>
      </c>
      <c r="C29" s="81" t="s">
        <v>224</v>
      </c>
    </row>
    <row r="30" spans="1:3" x14ac:dyDescent="0.2">
      <c r="A30" s="80">
        <v>1217</v>
      </c>
      <c r="B30" s="81" t="s">
        <v>225</v>
      </c>
      <c r="C30" s="81" t="s">
        <v>176</v>
      </c>
    </row>
    <row r="31" spans="1:3" x14ac:dyDescent="0.2">
      <c r="A31" s="80">
        <v>1218</v>
      </c>
      <c r="B31" s="81" t="s">
        <v>226</v>
      </c>
      <c r="C31" s="81" t="s">
        <v>177</v>
      </c>
    </row>
    <row r="32" spans="1:3" x14ac:dyDescent="0.2">
      <c r="A32" s="80">
        <v>1301</v>
      </c>
      <c r="B32" s="81" t="s">
        <v>227</v>
      </c>
      <c r="C32" s="81" t="s">
        <v>158</v>
      </c>
    </row>
    <row r="33" spans="1:3" x14ac:dyDescent="0.2">
      <c r="A33" s="80">
        <v>2102</v>
      </c>
      <c r="B33" s="81" t="s">
        <v>228</v>
      </c>
      <c r="C33" s="81" t="s">
        <v>158</v>
      </c>
    </row>
    <row r="34" spans="1:3" x14ac:dyDescent="0.2">
      <c r="A34" s="51">
        <v>2110</v>
      </c>
      <c r="B34" s="78" t="s">
        <v>101</v>
      </c>
      <c r="C34" s="78" t="s">
        <v>168</v>
      </c>
    </row>
    <row r="35" spans="1:3" x14ac:dyDescent="0.2">
      <c r="A35" s="51">
        <v>2114</v>
      </c>
      <c r="B35" s="78" t="s">
        <v>94</v>
      </c>
      <c r="C35" s="78" t="s">
        <v>167</v>
      </c>
    </row>
    <row r="36" spans="1:3" x14ac:dyDescent="0.2">
      <c r="A36" s="51">
        <v>2206</v>
      </c>
      <c r="B36" s="78" t="s">
        <v>103</v>
      </c>
      <c r="C36" s="78" t="s">
        <v>167</v>
      </c>
    </row>
    <row r="37" spans="1:3" x14ac:dyDescent="0.2">
      <c r="A37" s="51">
        <v>2207</v>
      </c>
      <c r="B37" s="78" t="s">
        <v>102</v>
      </c>
      <c r="C37" s="78" t="s">
        <v>174</v>
      </c>
    </row>
    <row r="38" spans="1:3" x14ac:dyDescent="0.2">
      <c r="A38" s="51">
        <v>2208</v>
      </c>
      <c r="B38" s="78" t="s">
        <v>97</v>
      </c>
      <c r="C38" s="78" t="s">
        <v>173</v>
      </c>
    </row>
    <row r="39" spans="1:3" x14ac:dyDescent="0.2">
      <c r="A39" s="51">
        <v>2209</v>
      </c>
      <c r="B39" s="78" t="s">
        <v>110</v>
      </c>
      <c r="C39" s="78" t="s">
        <v>168</v>
      </c>
    </row>
    <row r="40" spans="1:3" ht="25.5" x14ac:dyDescent="0.2">
      <c r="A40" s="51">
        <v>2211</v>
      </c>
      <c r="B40" s="78" t="s">
        <v>120</v>
      </c>
      <c r="C40" s="78" t="s">
        <v>169</v>
      </c>
    </row>
    <row r="41" spans="1:3" x14ac:dyDescent="0.2">
      <c r="A41" s="51">
        <v>2301</v>
      </c>
      <c r="B41" s="78" t="s">
        <v>105</v>
      </c>
      <c r="C41" s="78" t="s">
        <v>167</v>
      </c>
    </row>
    <row r="42" spans="1:3" x14ac:dyDescent="0.2">
      <c r="A42" s="51">
        <v>2302</v>
      </c>
      <c r="B42" s="78" t="s">
        <v>114</v>
      </c>
      <c r="C42" s="78" t="s">
        <v>168</v>
      </c>
    </row>
    <row r="43" spans="1:3" x14ac:dyDescent="0.2">
      <c r="A43" s="51">
        <v>3102</v>
      </c>
      <c r="B43" s="78" t="s">
        <v>112</v>
      </c>
      <c r="C43" s="78" t="s">
        <v>170</v>
      </c>
    </row>
    <row r="44" spans="1:3" x14ac:dyDescent="0.2">
      <c r="A44" s="51">
        <v>3103</v>
      </c>
      <c r="B44" s="78" t="s">
        <v>106</v>
      </c>
      <c r="C44" s="78" t="s">
        <v>169</v>
      </c>
    </row>
    <row r="45" spans="1:3" x14ac:dyDescent="0.2">
      <c r="A45" s="51">
        <v>3104</v>
      </c>
      <c r="B45" s="78" t="s">
        <v>111</v>
      </c>
      <c r="C45" s="78" t="s">
        <v>159</v>
      </c>
    </row>
    <row r="46" spans="1:3" x14ac:dyDescent="0.2">
      <c r="A46" s="51">
        <v>3107</v>
      </c>
      <c r="B46" s="78" t="s">
        <v>109</v>
      </c>
      <c r="C46" s="78" t="s">
        <v>168</v>
      </c>
    </row>
    <row r="47" spans="1:3" x14ac:dyDescent="0.2">
      <c r="A47" s="51">
        <v>3115</v>
      </c>
      <c r="B47" s="78" t="s">
        <v>100</v>
      </c>
      <c r="C47" s="78" t="s">
        <v>229</v>
      </c>
    </row>
    <row r="48" spans="1:3" x14ac:dyDescent="0.2">
      <c r="A48" s="51">
        <v>3117</v>
      </c>
      <c r="B48" s="78" t="s">
        <v>107</v>
      </c>
      <c r="C48" s="78" t="s">
        <v>171</v>
      </c>
    </row>
    <row r="49" spans="1:3" x14ac:dyDescent="0.2">
      <c r="A49" s="51">
        <v>3201</v>
      </c>
      <c r="B49" s="78" t="s">
        <v>95</v>
      </c>
      <c r="C49" s="78" t="s">
        <v>174</v>
      </c>
    </row>
    <row r="50" spans="1:3" x14ac:dyDescent="0.2">
      <c r="A50" s="51">
        <v>3204</v>
      </c>
      <c r="B50" s="78" t="s">
        <v>98</v>
      </c>
      <c r="C50" s="78" t="s">
        <v>168</v>
      </c>
    </row>
    <row r="51" spans="1:3" x14ac:dyDescent="0.2">
      <c r="A51" s="51">
        <v>3301</v>
      </c>
      <c r="B51" s="78" t="s">
        <v>99</v>
      </c>
      <c r="C51" s="78" t="s">
        <v>167</v>
      </c>
    </row>
    <row r="52" spans="1:3" x14ac:dyDescent="0.2">
      <c r="A52" s="51">
        <v>3302</v>
      </c>
      <c r="B52" s="78" t="s">
        <v>92</v>
      </c>
      <c r="C52" s="78" t="s">
        <v>168</v>
      </c>
    </row>
    <row r="53" spans="1:3" ht="25.5" x14ac:dyDescent="0.2">
      <c r="A53" s="51">
        <v>3303</v>
      </c>
      <c r="B53" s="78" t="s">
        <v>104</v>
      </c>
      <c r="C53" s="78" t="s">
        <v>168</v>
      </c>
    </row>
    <row r="54" spans="1:3" ht="25.5" x14ac:dyDescent="0.2">
      <c r="A54" s="51">
        <v>4101</v>
      </c>
      <c r="B54" s="78" t="s">
        <v>108</v>
      </c>
      <c r="C54" s="78" t="s">
        <v>167</v>
      </c>
    </row>
    <row r="55" spans="1:3" ht="25.5" x14ac:dyDescent="0.2">
      <c r="A55" s="51">
        <v>4102</v>
      </c>
      <c r="B55" s="78" t="s">
        <v>96</v>
      </c>
      <c r="C55" s="78" t="s">
        <v>177</v>
      </c>
    </row>
    <row r="56" spans="1:3" ht="25.5" x14ac:dyDescent="0.2">
      <c r="A56" s="51">
        <v>4106</v>
      </c>
      <c r="B56" s="78" t="s">
        <v>115</v>
      </c>
      <c r="C56" s="78" t="s">
        <v>230</v>
      </c>
    </row>
    <row r="57" spans="1:3" x14ac:dyDescent="0.2">
      <c r="A57" s="51">
        <v>4107</v>
      </c>
      <c r="B57" s="78" t="s">
        <v>118</v>
      </c>
      <c r="C57" s="78" t="s">
        <v>167</v>
      </c>
    </row>
    <row r="58" spans="1:3" x14ac:dyDescent="0.2">
      <c r="A58" s="51">
        <v>4108</v>
      </c>
      <c r="B58" s="78" t="s">
        <v>116</v>
      </c>
      <c r="C58" s="78" t="s">
        <v>158</v>
      </c>
    </row>
    <row r="59" spans="1:3" ht="25.5" x14ac:dyDescent="0.2">
      <c r="A59" s="51">
        <v>4109</v>
      </c>
      <c r="B59" s="78" t="s">
        <v>93</v>
      </c>
      <c r="C59" s="78" t="s">
        <v>167</v>
      </c>
    </row>
    <row r="60" spans="1:3" ht="25.5" x14ac:dyDescent="0.2">
      <c r="A60" s="51">
        <v>4110</v>
      </c>
      <c r="B60" s="78" t="s">
        <v>117</v>
      </c>
      <c r="C60" s="78" t="s">
        <v>173</v>
      </c>
    </row>
    <row r="61" spans="1:3" ht="25.5" x14ac:dyDescent="0.2">
      <c r="A61" s="51">
        <v>4111</v>
      </c>
      <c r="B61" s="78" t="s">
        <v>113</v>
      </c>
      <c r="C61" s="78" t="s">
        <v>175</v>
      </c>
    </row>
    <row r="62" spans="1:3" ht="25.5" x14ac:dyDescent="0.2">
      <c r="A62" s="51">
        <v>4112</v>
      </c>
      <c r="B62" s="78" t="s">
        <v>119</v>
      </c>
      <c r="C62" s="78" t="s">
        <v>160</v>
      </c>
    </row>
    <row r="63" spans="1:3" ht="15" x14ac:dyDescent="0.25">
      <c r="A63" s="51"/>
      <c r="B63" s="79" t="s">
        <v>122</v>
      </c>
      <c r="C63" s="79"/>
    </row>
  </sheetData>
  <sortState xmlns:xlrd2="http://schemas.microsoft.com/office/spreadsheetml/2017/richdata2" ref="A2:B33">
    <sortCondition ref="B2:B3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UNIVERSIDADES</vt:lpstr>
      <vt:lpstr>ITTU</vt:lpstr>
      <vt:lpstr>Graficas</vt:lpstr>
      <vt:lpstr>IES</vt:lpstr>
      <vt:lpstr>Fuentes</vt:lpstr>
      <vt:lpstr>Ajuste IPC</vt:lpstr>
      <vt:lpstr>2016 GIRADO CREE y ESTAMPILLA</vt:lpstr>
      <vt:lpstr>Hoja1</vt:lpstr>
      <vt:lpstr>Dptos</vt:lpstr>
      <vt:lpstr>IPC 2017</vt:lpstr>
      <vt:lpstr>Recursos IES </vt:lpstr>
      <vt:lpstr>MARCO NORMATIVO</vt:lpstr>
      <vt:lpstr>ITTU!Área_de_impresión</vt:lpstr>
      <vt:lpstr>UNIVERSIDADES!Área_de_impresión</vt:lpstr>
      <vt:lpstr>UNIVERSIDADES!AREA1</vt:lpstr>
      <vt:lpstr>ITTU!Títulos_a_imprimir</vt:lpstr>
      <vt:lpstr>UNIVERSIDADES!Títulos_a_imprimir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Emilio G</cp:lastModifiedBy>
  <cp:lastPrinted>2018-07-27T17:03:33Z</cp:lastPrinted>
  <dcterms:created xsi:type="dcterms:W3CDTF">2016-05-04T19:52:28Z</dcterms:created>
  <dcterms:modified xsi:type="dcterms:W3CDTF">2021-10-07T05:28:47Z</dcterms:modified>
</cp:coreProperties>
</file>